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35" windowWidth="28365" windowHeight="9615" tabRatio="595" firstSheet="3" activeTab="3"/>
  </bookViews>
  <sheets>
    <sheet name="Overview &amp; Instructions" sheetId="5" r:id="rId1"/>
    <sheet name="Gaia Engineering" sheetId="8" r:id="rId2"/>
    <sheet name="Global Emissions" sheetId="34" r:id="rId3"/>
    <sheet name="Energy &amp; Emissions Comparison" sheetId="10" r:id="rId4"/>
    <sheet name="Energy Cost &amp; Emissions" sheetId="11" r:id="rId5"/>
    <sheet name="Energy Cost Calcs" sheetId="35" r:id="rId6"/>
    <sheet name="P C Data" sheetId="7" r:id="rId7"/>
    <sheet name="Syncarb to rMgO Data" sheetId="27" r:id="rId8"/>
    <sheet name="Lime Energy &amp; CO2 Data" sheetId="12" r:id="rId9"/>
    <sheet name="SCM Data" sheetId="33" r:id="rId10"/>
    <sheet name="References" sheetId="13" r:id="rId11"/>
    <sheet name="Thermodynamic Data" sheetId="28" r:id="rId12"/>
  </sheets>
  <definedNames>
    <definedName name="_xlnm.Print_Area" localSheetId="3">'Energy &amp; Emissions Comparison'!$A$1:$BP$109</definedName>
    <definedName name="_xlnm.Print_Area" localSheetId="0">'Overview &amp; Instructions'!$A$1:$I$125</definedName>
    <definedName name="References">References!$B$6:$C$42</definedName>
  </definedNames>
  <calcPr calcId="145621"/>
</workbook>
</file>

<file path=xl/calcChain.xml><?xml version="1.0" encoding="utf-8"?>
<calcChain xmlns="http://schemas.openxmlformats.org/spreadsheetml/2006/main">
  <c r="BP30" i="10" l="1"/>
  <c r="BP29" i="10"/>
  <c r="BP28" i="10"/>
  <c r="BP27" i="10"/>
  <c r="BP26" i="10"/>
  <c r="BP25" i="10"/>
  <c r="BP24" i="10"/>
  <c r="BP23" i="10"/>
  <c r="BP22" i="10"/>
  <c r="BK30" i="10"/>
  <c r="BK29" i="10"/>
  <c r="BK28" i="10"/>
  <c r="BK27" i="10"/>
  <c r="BK26" i="10"/>
  <c r="BK25" i="10"/>
  <c r="BK24" i="10"/>
  <c r="BK23" i="10"/>
  <c r="BK22" i="10"/>
  <c r="BF30" i="10"/>
  <c r="BF29" i="10"/>
  <c r="BF28" i="10"/>
  <c r="BF27" i="10"/>
  <c r="BF26" i="10"/>
  <c r="BF25" i="10"/>
  <c r="BF24" i="10"/>
  <c r="BF23" i="10"/>
  <c r="BF22" i="10"/>
  <c r="BA30" i="10"/>
  <c r="BA29" i="10"/>
  <c r="BA28" i="10"/>
  <c r="BA27" i="10"/>
  <c r="BA26" i="10"/>
  <c r="BA25" i="10"/>
  <c r="BA24" i="10"/>
  <c r="BA23" i="10"/>
  <c r="BA22" i="10"/>
  <c r="AV30" i="10"/>
  <c r="AV29" i="10"/>
  <c r="AV28" i="10"/>
  <c r="AV27" i="10"/>
  <c r="AV26" i="10"/>
  <c r="AV25" i="10"/>
  <c r="AV24" i="10"/>
  <c r="AV23" i="10"/>
  <c r="AV22" i="10"/>
  <c r="BC22" i="10"/>
  <c r="BD22" i="10"/>
  <c r="BC28" i="10"/>
  <c r="BD28" i="10"/>
  <c r="BS28" i="10"/>
  <c r="BR28" i="10"/>
  <c r="BS22" i="10"/>
  <c r="BR22" i="10"/>
  <c r="BN28" i="10"/>
  <c r="BM28" i="10"/>
  <c r="BN22" i="10"/>
  <c r="BM22" i="10"/>
  <c r="BI28" i="10"/>
  <c r="BI22" i="10"/>
  <c r="AY28" i="10"/>
  <c r="BH28" i="10" l="1"/>
  <c r="BH22" i="10"/>
  <c r="AX28" i="10"/>
  <c r="AY22" i="10"/>
  <c r="AX22" i="10" l="1"/>
  <c r="I33" i="35" l="1"/>
  <c r="I32" i="35"/>
  <c r="H33" i="35"/>
  <c r="H32" i="35"/>
  <c r="H22" i="35"/>
  <c r="I22" i="35" s="1"/>
  <c r="H21" i="35"/>
  <c r="I21" i="35" s="1"/>
  <c r="H20" i="35"/>
  <c r="I20" i="35" s="1"/>
  <c r="H19" i="35"/>
  <c r="I19" i="35" s="1"/>
  <c r="H18" i="35"/>
  <c r="I18" i="35" s="1"/>
  <c r="H16" i="35"/>
  <c r="I16" i="35" s="1"/>
  <c r="H15" i="35"/>
  <c r="I15" i="35" s="1"/>
  <c r="H14" i="35"/>
  <c r="I14" i="35" s="1"/>
  <c r="H13" i="35"/>
  <c r="I13" i="35" s="1"/>
  <c r="H12" i="35"/>
  <c r="I12" i="35" s="1"/>
  <c r="H11" i="35"/>
  <c r="I11" i="35" s="1"/>
  <c r="H10" i="35"/>
  <c r="I10" i="35" s="1"/>
  <c r="H9" i="35"/>
  <c r="I9" i="35" s="1"/>
  <c r="H8" i="35"/>
  <c r="I8" i="35" s="1"/>
  <c r="H7" i="35"/>
  <c r="I7" i="35" s="1"/>
  <c r="H6" i="35"/>
  <c r="I6" i="35" s="1"/>
  <c r="E97" i="10" l="1"/>
  <c r="D94" i="10"/>
  <c r="O6" i="34"/>
  <c r="K6" i="34"/>
  <c r="E11" i="34"/>
  <c r="O11" i="34" s="1"/>
  <c r="E10" i="34"/>
  <c r="I6" i="34"/>
  <c r="G6" i="34"/>
  <c r="BQ76" i="10" l="1"/>
  <c r="BP76" i="10"/>
  <c r="BQ75" i="10"/>
  <c r="BP75" i="10"/>
  <c r="BQ72" i="10"/>
  <c r="BP72" i="10"/>
  <c r="BQ65" i="10"/>
  <c r="BP65" i="10"/>
  <c r="BL76" i="10"/>
  <c r="BK76" i="10"/>
  <c r="BL75" i="10"/>
  <c r="BK75" i="10"/>
  <c r="BL72" i="10"/>
  <c r="BK72" i="10"/>
  <c r="BL65" i="10"/>
  <c r="BK65" i="10"/>
  <c r="BG76" i="10"/>
  <c r="BF76" i="10"/>
  <c r="BG75" i="10"/>
  <c r="BF75" i="10"/>
  <c r="BG72" i="10"/>
  <c r="BF72" i="10"/>
  <c r="BG65" i="10"/>
  <c r="BF65" i="10"/>
  <c r="BJ63" i="10"/>
  <c r="BI63" i="10"/>
  <c r="BH63" i="10"/>
  <c r="BG63" i="10"/>
  <c r="BF63" i="10"/>
  <c r="BB76" i="10"/>
  <c r="BA76" i="10"/>
  <c r="BB75" i="10"/>
  <c r="BA75" i="10"/>
  <c r="BB72" i="10"/>
  <c r="BA72" i="10"/>
  <c r="BB65" i="10"/>
  <c r="BA65" i="10"/>
  <c r="BE63" i="10"/>
  <c r="BD63" i="10"/>
  <c r="BC63" i="10"/>
  <c r="BB63" i="10"/>
  <c r="BA63" i="10"/>
  <c r="AW76" i="10"/>
  <c r="AV76" i="10"/>
  <c r="AW75" i="10"/>
  <c r="AV75" i="10"/>
  <c r="AW72" i="10"/>
  <c r="AV72" i="10"/>
  <c r="AW65" i="10"/>
  <c r="AV65" i="10"/>
  <c r="G54" i="10"/>
  <c r="BK50" i="10"/>
  <c r="BF50" i="10"/>
  <c r="BA50" i="10"/>
  <c r="AV50" i="10"/>
  <c r="BK49" i="10"/>
  <c r="BF49" i="10"/>
  <c r="BA49" i="10"/>
  <c r="AV49" i="10"/>
  <c r="BK48" i="10"/>
  <c r="BF48" i="10"/>
  <c r="BA48" i="10"/>
  <c r="AV48" i="10"/>
  <c r="BK47" i="10"/>
  <c r="BF47" i="10"/>
  <c r="BA47" i="10"/>
  <c r="AV47" i="10"/>
  <c r="BK46" i="10"/>
  <c r="BF46" i="10"/>
  <c r="BA46" i="10"/>
  <c r="AV46" i="10"/>
  <c r="BK45" i="10"/>
  <c r="BF45" i="10"/>
  <c r="BA45" i="10"/>
  <c r="AV45" i="10"/>
  <c r="BK44" i="10"/>
  <c r="BF44" i="10"/>
  <c r="BA44" i="10"/>
  <c r="AV44" i="10"/>
  <c r="BK43" i="10"/>
  <c r="BF43" i="10"/>
  <c r="BA43" i="10"/>
  <c r="AV43" i="10"/>
  <c r="BK42" i="10"/>
  <c r="BF42" i="10"/>
  <c r="BA42" i="10"/>
  <c r="AV42" i="10"/>
  <c r="BK41" i="10"/>
  <c r="BF41" i="10"/>
  <c r="BA41" i="10"/>
  <c r="AV41" i="10"/>
  <c r="AV20" i="10"/>
  <c r="AV13" i="10"/>
  <c r="BP50" i="10"/>
  <c r="BP49" i="10"/>
  <c r="BP48" i="10"/>
  <c r="BP47" i="10"/>
  <c r="BP46" i="10"/>
  <c r="BP45" i="10"/>
  <c r="BP44" i="10"/>
  <c r="BP43" i="10"/>
  <c r="BP42" i="10"/>
  <c r="BP41" i="10"/>
  <c r="BP20" i="10"/>
  <c r="BP13" i="10"/>
  <c r="BR30" i="10" l="1"/>
  <c r="BR25" i="10"/>
  <c r="BS24" i="10"/>
  <c r="BS23" i="10"/>
  <c r="BR26" i="10"/>
  <c r="BS25" i="10"/>
  <c r="BR24" i="10"/>
  <c r="BS27" i="10"/>
  <c r="BR27" i="10"/>
  <c r="BR23" i="10"/>
  <c r="BS26" i="10"/>
  <c r="BS29" i="10"/>
  <c r="BR29" i="10"/>
  <c r="AY27" i="10"/>
  <c r="AY26" i="10"/>
  <c r="AY24" i="10"/>
  <c r="AX27" i="10"/>
  <c r="AX30" i="10"/>
  <c r="AX24" i="10"/>
  <c r="AX29" i="10"/>
  <c r="AX25" i="10"/>
  <c r="AY25" i="10"/>
  <c r="AX26" i="10"/>
  <c r="AY29" i="10"/>
  <c r="AY23" i="10"/>
  <c r="AX23" i="10"/>
  <c r="AV21" i="10"/>
  <c r="BP21" i="10"/>
  <c r="BA20" i="10"/>
  <c r="BF20" i="10"/>
  <c r="BK20" i="10"/>
  <c r="AQ20" i="10"/>
  <c r="AK20" i="10"/>
  <c r="AE20" i="10"/>
  <c r="Y20" i="10"/>
  <c r="S20" i="10"/>
  <c r="M20" i="10"/>
  <c r="G20" i="10"/>
  <c r="G11" i="34"/>
  <c r="AL63" i="10"/>
  <c r="AK63" i="10"/>
  <c r="AL58" i="10"/>
  <c r="AL57" i="10"/>
  <c r="AL56" i="10"/>
  <c r="AL55" i="10"/>
  <c r="AL54" i="10"/>
  <c r="AK58" i="10"/>
  <c r="AN58" i="10" s="1"/>
  <c r="AO58" i="10" s="1"/>
  <c r="AK57" i="10"/>
  <c r="AM57" i="10" s="1"/>
  <c r="AK56" i="10"/>
  <c r="AN56" i="10" s="1"/>
  <c r="AO56" i="10" s="1"/>
  <c r="AK55" i="10"/>
  <c r="AN55" i="10" s="1"/>
  <c r="AO55" i="10" s="1"/>
  <c r="AK54" i="10"/>
  <c r="AN54" i="10" s="1"/>
  <c r="AO54" i="10" s="1"/>
  <c r="AF58" i="10"/>
  <c r="AF57" i="10"/>
  <c r="AF56" i="10"/>
  <c r="AF55" i="10"/>
  <c r="AF54" i="10"/>
  <c r="AE63" i="10"/>
  <c r="AE58" i="10"/>
  <c r="AH58" i="10" s="1"/>
  <c r="AI58" i="10" s="1"/>
  <c r="AE57" i="10"/>
  <c r="AG57" i="10" s="1"/>
  <c r="AE56" i="10"/>
  <c r="AE55" i="10"/>
  <c r="AG55" i="10" s="1"/>
  <c r="AE54" i="10"/>
  <c r="AH54" i="10" s="1"/>
  <c r="AI54" i="10" s="1"/>
  <c r="AO73" i="10"/>
  <c r="AO79" i="10" s="1"/>
  <c r="AN73" i="10"/>
  <c r="AN79" i="10" s="1"/>
  <c r="AM73" i="10"/>
  <c r="AM79" i="10" s="1"/>
  <c r="AL73" i="10"/>
  <c r="AL79" i="10" s="1"/>
  <c r="AK73" i="10"/>
  <c r="AK79" i="10" s="1"/>
  <c r="AK68" i="10"/>
  <c r="AN68" i="10" s="1"/>
  <c r="AO68" i="10" s="1"/>
  <c r="AK67" i="10"/>
  <c r="AL67" i="10" s="1"/>
  <c r="E17" i="33"/>
  <c r="D17" i="33"/>
  <c r="AF63" i="10"/>
  <c r="E12" i="33"/>
  <c r="D12" i="33"/>
  <c r="AG54" i="10" l="1"/>
  <c r="AN63" i="10"/>
  <c r="AN66" i="10" s="1"/>
  <c r="BP63" i="10"/>
  <c r="AL66" i="10"/>
  <c r="BQ63" i="10"/>
  <c r="AW63" i="10"/>
  <c r="BL63" i="10"/>
  <c r="AH63" i="10"/>
  <c r="AV63" i="10"/>
  <c r="BK63" i="10"/>
  <c r="AM58" i="10"/>
  <c r="AG58" i="10"/>
  <c r="AH57" i="10"/>
  <c r="AI57" i="10" s="1"/>
  <c r="AM54" i="10"/>
  <c r="M11" i="34"/>
  <c r="I11" i="34"/>
  <c r="AM55" i="10"/>
  <c r="AK69" i="10"/>
  <c r="AL59" i="10"/>
  <c r="AL61" i="10" s="1"/>
  <c r="AN57" i="10"/>
  <c r="AO57" i="10" s="1"/>
  <c r="AO59" i="10" s="1"/>
  <c r="AM56" i="10"/>
  <c r="AM67" i="10"/>
  <c r="AN67" i="10"/>
  <c r="AN69" i="10" s="1"/>
  <c r="E12" i="34"/>
  <c r="AM63" i="10"/>
  <c r="AK66" i="10"/>
  <c r="AH55" i="10"/>
  <c r="AI55" i="10" s="1"/>
  <c r="AK59" i="10"/>
  <c r="AL68" i="10"/>
  <c r="AL69" i="10" s="1"/>
  <c r="AM68" i="10"/>
  <c r="AG63" i="10"/>
  <c r="AM66" i="10" l="1"/>
  <c r="BR63" i="10"/>
  <c r="AO63" i="10"/>
  <c r="BS63" i="10"/>
  <c r="AL78" i="10"/>
  <c r="AL80" i="10" s="1"/>
  <c r="AI63" i="10"/>
  <c r="AY63" i="10"/>
  <c r="BN63" i="10"/>
  <c r="AX63" i="10"/>
  <c r="BM63" i="10"/>
  <c r="AM69" i="10"/>
  <c r="AN59" i="10"/>
  <c r="AN61" i="10" s="1"/>
  <c r="AN70" i="10" s="1"/>
  <c r="AN74" i="10" s="1"/>
  <c r="AN77" i="10" s="1"/>
  <c r="AO67" i="10"/>
  <c r="AO69" i="10" s="1"/>
  <c r="AM59" i="10"/>
  <c r="AL70" i="10"/>
  <c r="AL74" i="10" s="1"/>
  <c r="AL77" i="10" s="1"/>
  <c r="AK61" i="10"/>
  <c r="AK70" i="10" s="1"/>
  <c r="AK74" i="10" s="1"/>
  <c r="AK77" i="10" s="1"/>
  <c r="AK78" i="10"/>
  <c r="AK80" i="10" s="1"/>
  <c r="AO61" i="10"/>
  <c r="AG56" i="10"/>
  <c r="AH56" i="10"/>
  <c r="AI56" i="10" s="1"/>
  <c r="AF59" i="10"/>
  <c r="C14" i="33"/>
  <c r="C15" i="33"/>
  <c r="C13" i="33"/>
  <c r="C11" i="33"/>
  <c r="C10" i="33"/>
  <c r="C8" i="33"/>
  <c r="C9" i="33"/>
  <c r="AE68" i="10"/>
  <c r="AG68" i="10" s="1"/>
  <c r="AE67" i="10"/>
  <c r="AB60" i="10"/>
  <c r="BI60" i="10" s="1"/>
  <c r="V60" i="10"/>
  <c r="AT76" i="10"/>
  <c r="AQ68" i="10"/>
  <c r="AQ67" i="10"/>
  <c r="Y68" i="10"/>
  <c r="Y67" i="10"/>
  <c r="AT65" i="10"/>
  <c r="AQ64" i="10"/>
  <c r="AQ62" i="10"/>
  <c r="AT60" i="10"/>
  <c r="AQ57" i="10"/>
  <c r="AQ56" i="10"/>
  <c r="AQ55" i="10"/>
  <c r="AQ54" i="10"/>
  <c r="AQ58" i="10"/>
  <c r="Y58" i="10"/>
  <c r="S58" i="10"/>
  <c r="U58" i="10" s="1"/>
  <c r="M58" i="10"/>
  <c r="O58" i="10" s="1"/>
  <c r="AB65" i="10"/>
  <c r="Y64" i="10"/>
  <c r="Y62" i="10"/>
  <c r="Y57" i="10"/>
  <c r="Y56" i="10"/>
  <c r="Y55" i="10"/>
  <c r="Y54" i="10"/>
  <c r="S68" i="10"/>
  <c r="U68" i="10" s="1"/>
  <c r="S67" i="10"/>
  <c r="V67" i="10" s="1"/>
  <c r="V65" i="10"/>
  <c r="V75" i="10" s="1"/>
  <c r="V76" i="10" s="1"/>
  <c r="S64" i="10"/>
  <c r="S71" i="10" s="1"/>
  <c r="S62" i="10"/>
  <c r="S57" i="10"/>
  <c r="V57" i="10" s="1"/>
  <c r="S56" i="10"/>
  <c r="V56" i="10" s="1"/>
  <c r="S55" i="10"/>
  <c r="U55" i="10" s="1"/>
  <c r="S54" i="10"/>
  <c r="M68" i="10"/>
  <c r="P68" i="10" s="1"/>
  <c r="M67" i="10"/>
  <c r="O67" i="10" s="1"/>
  <c r="P65" i="10"/>
  <c r="P75" i="10" s="1"/>
  <c r="P76" i="10" s="1"/>
  <c r="M62" i="10"/>
  <c r="P62" i="10" s="1"/>
  <c r="M64" i="10"/>
  <c r="P64" i="10" s="1"/>
  <c r="P60" i="10"/>
  <c r="M57" i="10"/>
  <c r="P57" i="10" s="1"/>
  <c r="M56" i="10"/>
  <c r="P56" i="10" s="1"/>
  <c r="M55" i="10"/>
  <c r="P55" i="10" s="1"/>
  <c r="M54" i="10"/>
  <c r="G68" i="10"/>
  <c r="G67" i="10"/>
  <c r="J65" i="10"/>
  <c r="J60" i="10"/>
  <c r="G64" i="10"/>
  <c r="G62" i="10"/>
  <c r="G57" i="10"/>
  <c r="G58" i="10"/>
  <c r="G56" i="10"/>
  <c r="G55" i="10"/>
  <c r="I54" i="10"/>
  <c r="BS60" i="10" l="1"/>
  <c r="BT63" i="10"/>
  <c r="AO66" i="10"/>
  <c r="AO78" i="10" s="1"/>
  <c r="AO80" i="10" s="1"/>
  <c r="AN78" i="10"/>
  <c r="AN80" i="10" s="1"/>
  <c r="AT57" i="10"/>
  <c r="BP57" i="10"/>
  <c r="AB54" i="10"/>
  <c r="BI54" i="10" s="1"/>
  <c r="BF54" i="10"/>
  <c r="AU76" i="10"/>
  <c r="J75" i="10"/>
  <c r="BD65" i="10"/>
  <c r="BN65" i="10"/>
  <c r="AY65" i="10"/>
  <c r="AB55" i="10"/>
  <c r="BI55" i="10" s="1"/>
  <c r="BF55" i="10"/>
  <c r="AT62" i="10"/>
  <c r="AU62" i="10" s="1"/>
  <c r="BP62" i="10"/>
  <c r="I55" i="10"/>
  <c r="BK55" i="10"/>
  <c r="BA55" i="10"/>
  <c r="AV55" i="10"/>
  <c r="J67" i="10"/>
  <c r="BK67" i="10"/>
  <c r="AV67" i="10"/>
  <c r="BA67" i="10"/>
  <c r="AB56" i="10"/>
  <c r="BI56" i="10" s="1"/>
  <c r="BF56" i="10"/>
  <c r="AB58" i="10"/>
  <c r="BI58" i="10" s="1"/>
  <c r="BF58" i="10"/>
  <c r="AT64" i="10"/>
  <c r="BP64" i="10"/>
  <c r="I64" i="10"/>
  <c r="AV64" i="10"/>
  <c r="BK64" i="10"/>
  <c r="BA64" i="10"/>
  <c r="AY60" i="10"/>
  <c r="BD60" i="10"/>
  <c r="BN60" i="10"/>
  <c r="I56" i="10"/>
  <c r="AV56" i="10"/>
  <c r="BA56" i="10"/>
  <c r="BK56" i="10"/>
  <c r="J68" i="10"/>
  <c r="BA68" i="10"/>
  <c r="BK68" i="10"/>
  <c r="AV68" i="10"/>
  <c r="AA57" i="10"/>
  <c r="BH57" i="10" s="1"/>
  <c r="BF57" i="10"/>
  <c r="AS58" i="10"/>
  <c r="BP58" i="10"/>
  <c r="AT75" i="10"/>
  <c r="BS65" i="10"/>
  <c r="J58" i="10"/>
  <c r="BA58" i="10"/>
  <c r="BK58" i="10"/>
  <c r="AV58" i="10"/>
  <c r="P54" i="10"/>
  <c r="BA54" i="10"/>
  <c r="AV54" i="10"/>
  <c r="AB62" i="10"/>
  <c r="BF62" i="10"/>
  <c r="AS54" i="10"/>
  <c r="BP54" i="10"/>
  <c r="AB67" i="10"/>
  <c r="BI67" i="10" s="1"/>
  <c r="BF67" i="10"/>
  <c r="AT68" i="10"/>
  <c r="BP68" i="10"/>
  <c r="J57" i="10"/>
  <c r="BK57" i="10"/>
  <c r="BA57" i="10"/>
  <c r="AV57" i="10"/>
  <c r="AB64" i="10"/>
  <c r="AC64" i="10" s="1"/>
  <c r="BJ64" i="10" s="1"/>
  <c r="BF64" i="10"/>
  <c r="AS55" i="10"/>
  <c r="BP55" i="10"/>
  <c r="AB68" i="10"/>
  <c r="BI68" i="10" s="1"/>
  <c r="BF68" i="10"/>
  <c r="BO63" i="10"/>
  <c r="AZ63" i="10"/>
  <c r="J62" i="10"/>
  <c r="BA62" i="10"/>
  <c r="AV62" i="10"/>
  <c r="BK62" i="10"/>
  <c r="V54" i="10"/>
  <c r="BK54" i="10"/>
  <c r="AB72" i="10"/>
  <c r="BI72" i="10" s="1"/>
  <c r="BI65" i="10"/>
  <c r="AT56" i="10"/>
  <c r="BP56" i="10"/>
  <c r="AT67" i="10"/>
  <c r="BP67" i="10"/>
  <c r="BP69" i="10" s="1"/>
  <c r="AE69" i="10"/>
  <c r="AM78" i="10"/>
  <c r="AM80" i="10" s="1"/>
  <c r="AM61" i="10"/>
  <c r="AM70" i="10" s="1"/>
  <c r="AM74" i="10" s="1"/>
  <c r="AM77" i="10" s="1"/>
  <c r="E10" i="33"/>
  <c r="D10" i="33"/>
  <c r="E11" i="33"/>
  <c r="D11" i="33"/>
  <c r="E13" i="33"/>
  <c r="D13" i="33"/>
  <c r="E15" i="33"/>
  <c r="D15" i="33"/>
  <c r="E14" i="33"/>
  <c r="D14" i="33"/>
  <c r="E9" i="33"/>
  <c r="D9" i="33"/>
  <c r="E8" i="33"/>
  <c r="D8" i="33"/>
  <c r="AR67" i="10"/>
  <c r="AS67" i="10"/>
  <c r="AI59" i="10"/>
  <c r="AQ71" i="10"/>
  <c r="AH68" i="10"/>
  <c r="AI68" i="10" s="1"/>
  <c r="AH59" i="10"/>
  <c r="AF66" i="10"/>
  <c r="AH66" i="10"/>
  <c r="AF67" i="10"/>
  <c r="AH67" i="10"/>
  <c r="AE59" i="10"/>
  <c r="AG67" i="10"/>
  <c r="AG69" i="10" s="1"/>
  <c r="AE66" i="10"/>
  <c r="AF68" i="10"/>
  <c r="P67" i="10"/>
  <c r="AS68" i="10"/>
  <c r="O54" i="10"/>
  <c r="AT58" i="10"/>
  <c r="AR58" i="10"/>
  <c r="AS57" i="10"/>
  <c r="O64" i="10"/>
  <c r="O71" i="10" s="1"/>
  <c r="AS56" i="10"/>
  <c r="O56" i="10"/>
  <c r="AT55" i="10"/>
  <c r="P71" i="10"/>
  <c r="O68" i="10"/>
  <c r="P58" i="10"/>
  <c r="O57" i="10"/>
  <c r="AT72" i="10"/>
  <c r="AS64" i="10"/>
  <c r="O55" i="10"/>
  <c r="O62" i="10"/>
  <c r="AT54" i="10"/>
  <c r="AS62" i="10"/>
  <c r="V72" i="10"/>
  <c r="AA58" i="10"/>
  <c r="BH58" i="10" s="1"/>
  <c r="AB57" i="10"/>
  <c r="AA67" i="10"/>
  <c r="BH67" i="10" s="1"/>
  <c r="AC65" i="10"/>
  <c r="BJ65" i="10" s="1"/>
  <c r="AA68" i="10"/>
  <c r="BH68" i="10" s="1"/>
  <c r="AB75" i="10"/>
  <c r="AC75" i="10" s="1"/>
  <c r="Y71" i="10"/>
  <c r="BF71" i="10" s="1"/>
  <c r="BF73" i="10" s="1"/>
  <c r="BF79" i="10" s="1"/>
  <c r="AA62" i="10"/>
  <c r="BH62" i="10" s="1"/>
  <c r="AA64" i="10"/>
  <c r="AA56" i="10"/>
  <c r="BH56" i="10" s="1"/>
  <c r="AA55" i="10"/>
  <c r="BH55" i="10" s="1"/>
  <c r="AA54" i="10"/>
  <c r="BH54" i="10" s="1"/>
  <c r="J72" i="10"/>
  <c r="U67" i="10"/>
  <c r="J64" i="10"/>
  <c r="G71" i="10"/>
  <c r="U56" i="10"/>
  <c r="V68" i="10"/>
  <c r="V58" i="10"/>
  <c r="W58" i="10" s="1"/>
  <c r="U57" i="10"/>
  <c r="V55" i="10"/>
  <c r="U54" i="10"/>
  <c r="BM54" i="10" s="1"/>
  <c r="P72" i="10"/>
  <c r="M71" i="10"/>
  <c r="I57" i="10"/>
  <c r="I58" i="10"/>
  <c r="J54" i="10"/>
  <c r="J55" i="10"/>
  <c r="J56" i="10"/>
  <c r="I68" i="10"/>
  <c r="I67" i="10"/>
  <c r="I62" i="10"/>
  <c r="Z58" i="10"/>
  <c r="BG58" i="10" s="1"/>
  <c r="AR68" i="10"/>
  <c r="AR55" i="10"/>
  <c r="Z68" i="10"/>
  <c r="BG68" i="10" s="1"/>
  <c r="AC60" i="10"/>
  <c r="BJ60" i="10" s="1"/>
  <c r="Z62" i="10"/>
  <c r="BG62" i="10" s="1"/>
  <c r="Z67" i="10"/>
  <c r="BG67" i="10" s="1"/>
  <c r="Y69" i="10"/>
  <c r="AR57" i="10"/>
  <c r="AU60" i="10"/>
  <c r="AU65" i="10"/>
  <c r="AQ69" i="10"/>
  <c r="AR56" i="10"/>
  <c r="AQ66" i="10"/>
  <c r="AR62" i="10"/>
  <c r="AR54" i="10"/>
  <c r="AQ59" i="10"/>
  <c r="AR64" i="10"/>
  <c r="Z55" i="10"/>
  <c r="BG55" i="10" s="1"/>
  <c r="Y59" i="10"/>
  <c r="Z54" i="10"/>
  <c r="BG54" i="10" s="1"/>
  <c r="Z56" i="10"/>
  <c r="BG56" i="10" s="1"/>
  <c r="Z57" i="10"/>
  <c r="BG57" i="10" s="1"/>
  <c r="Y66" i="10"/>
  <c r="Z64" i="10"/>
  <c r="BG64" i="10" s="1"/>
  <c r="W60" i="10"/>
  <c r="T57" i="10"/>
  <c r="Q60" i="10"/>
  <c r="BS68" i="10" l="1"/>
  <c r="BS69" i="10" s="1"/>
  <c r="BS67" i="10"/>
  <c r="BS56" i="10"/>
  <c r="BS55" i="10"/>
  <c r="BR68" i="10"/>
  <c r="BC54" i="10"/>
  <c r="BR58" i="10"/>
  <c r="BR57" i="10"/>
  <c r="BR62" i="10"/>
  <c r="BS58" i="10"/>
  <c r="BR67" i="10"/>
  <c r="BR54" i="10"/>
  <c r="BS54" i="10"/>
  <c r="BS57" i="10"/>
  <c r="BR56" i="10"/>
  <c r="BR55" i="10"/>
  <c r="AO70" i="10"/>
  <c r="AO74" i="10" s="1"/>
  <c r="AO77" i="10" s="1"/>
  <c r="AU57" i="10"/>
  <c r="AX54" i="10"/>
  <c r="AU68" i="10"/>
  <c r="AC56" i="10"/>
  <c r="BJ56" i="10" s="1"/>
  <c r="BP59" i="10"/>
  <c r="BP61" i="10" s="1"/>
  <c r="BK69" i="10"/>
  <c r="BI75" i="10"/>
  <c r="AB76" i="10"/>
  <c r="AV66" i="10"/>
  <c r="BP66" i="10"/>
  <c r="AB66" i="10"/>
  <c r="AU56" i="10"/>
  <c r="BI69" i="10"/>
  <c r="AU55" i="10"/>
  <c r="AC58" i="10"/>
  <c r="BJ58" i="10" s="1"/>
  <c r="BC56" i="10"/>
  <c r="BM56" i="10"/>
  <c r="AX56" i="10"/>
  <c r="BC57" i="10"/>
  <c r="AX57" i="10"/>
  <c r="BM57" i="10"/>
  <c r="BN72" i="10"/>
  <c r="AY72" i="10"/>
  <c r="BD72" i="10"/>
  <c r="BN58" i="10"/>
  <c r="BD58" i="10"/>
  <c r="AY58" i="10"/>
  <c r="BH59" i="10"/>
  <c r="BG66" i="10"/>
  <c r="AC55" i="10"/>
  <c r="BJ55" i="10" s="1"/>
  <c r="BD54" i="10"/>
  <c r="AY54" i="10"/>
  <c r="BN54" i="10"/>
  <c r="J71" i="10"/>
  <c r="AY64" i="10"/>
  <c r="BD64" i="10"/>
  <c r="BD62" i="10"/>
  <c r="AY62" i="10"/>
  <c r="AB71" i="10"/>
  <c r="BI71" i="10" s="1"/>
  <c r="BI73" i="10" s="1"/>
  <c r="BI64" i="10"/>
  <c r="I71" i="10"/>
  <c r="BC64" i="10"/>
  <c r="AX64" i="10"/>
  <c r="AV69" i="10"/>
  <c r="BS62" i="10"/>
  <c r="AT66" i="10"/>
  <c r="BM58" i="10"/>
  <c r="AX58" i="10"/>
  <c r="BC58" i="10"/>
  <c r="AT71" i="10"/>
  <c r="BS71" i="10" s="1"/>
  <c r="BS64" i="10"/>
  <c r="AX62" i="10"/>
  <c r="BC62" i="10"/>
  <c r="BD57" i="10"/>
  <c r="BN57" i="10"/>
  <c r="AY57" i="10"/>
  <c r="BF59" i="10"/>
  <c r="AR66" i="10"/>
  <c r="AU64" i="10"/>
  <c r="AB69" i="10"/>
  <c r="BM68" i="10"/>
  <c r="BC68" i="10"/>
  <c r="AX68" i="10"/>
  <c r="AU58" i="10"/>
  <c r="BH69" i="10"/>
  <c r="AS71" i="10"/>
  <c r="BR64" i="10"/>
  <c r="AU75" i="10"/>
  <c r="BS75" i="10"/>
  <c r="BN68" i="10"/>
  <c r="AY68" i="10"/>
  <c r="BD68" i="10"/>
  <c r="BA66" i="10"/>
  <c r="AC62" i="10"/>
  <c r="BJ62" i="10" s="1"/>
  <c r="BJ66" i="10" s="1"/>
  <c r="BI62" i="10"/>
  <c r="BG59" i="10"/>
  <c r="AY56" i="10"/>
  <c r="BN56" i="10"/>
  <c r="BD56" i="10"/>
  <c r="AC57" i="10"/>
  <c r="BJ57" i="10" s="1"/>
  <c r="BI57" i="10"/>
  <c r="BI59" i="10" s="1"/>
  <c r="AU72" i="10"/>
  <c r="BS72" i="10"/>
  <c r="BA59" i="10"/>
  <c r="BK66" i="10"/>
  <c r="BM55" i="10"/>
  <c r="BC55" i="10"/>
  <c r="AX55" i="10"/>
  <c r="J76" i="10"/>
  <c r="BS76" i="10" s="1"/>
  <c r="BD75" i="10"/>
  <c r="BN75" i="10"/>
  <c r="AY75" i="10"/>
  <c r="BD67" i="10"/>
  <c r="AY67" i="10"/>
  <c r="BN67" i="10"/>
  <c r="BK59" i="10"/>
  <c r="BC67" i="10"/>
  <c r="AX67" i="10"/>
  <c r="BM67" i="10"/>
  <c r="BG69" i="10"/>
  <c r="AC68" i="10"/>
  <c r="BJ68" i="10" s="1"/>
  <c r="BD55" i="10"/>
  <c r="AY55" i="10"/>
  <c r="BN55" i="10"/>
  <c r="AV71" i="10"/>
  <c r="AV73" i="10" s="1"/>
  <c r="AV79" i="10" s="1"/>
  <c r="BA71" i="10"/>
  <c r="BA73" i="10" s="1"/>
  <c r="BA79" i="10" s="1"/>
  <c r="BK71" i="10"/>
  <c r="BK73" i="10" s="1"/>
  <c r="BK79" i="10" s="1"/>
  <c r="AA71" i="10"/>
  <c r="BH71" i="10" s="1"/>
  <c r="BH64" i="10"/>
  <c r="AR71" i="10"/>
  <c r="BP71" i="10"/>
  <c r="BP73" i="10" s="1"/>
  <c r="BP79" i="10" s="1"/>
  <c r="BF66" i="10"/>
  <c r="BF69" i="10"/>
  <c r="BA69" i="10"/>
  <c r="AR69" i="10"/>
  <c r="AQ73" i="10"/>
  <c r="AQ79" i="10" s="1"/>
  <c r="AF73" i="10"/>
  <c r="AF79" i="10" s="1"/>
  <c r="AE73" i="10"/>
  <c r="AE79" i="10" s="1"/>
  <c r="AH69" i="10"/>
  <c r="AH78" i="10" s="1"/>
  <c r="AI67" i="10"/>
  <c r="AI69" i="10" s="1"/>
  <c r="AG59" i="10"/>
  <c r="AG73" i="10"/>
  <c r="AG79" i="10" s="1"/>
  <c r="AF69" i="10"/>
  <c r="AI61" i="10"/>
  <c r="AH61" i="10"/>
  <c r="AI66" i="10"/>
  <c r="AE61" i="10"/>
  <c r="AE70" i="10" s="1"/>
  <c r="AE78" i="10"/>
  <c r="AG66" i="10"/>
  <c r="AH73" i="10"/>
  <c r="AH79" i="10" s="1"/>
  <c r="AQ78" i="10"/>
  <c r="AA59" i="10"/>
  <c r="AA69" i="10"/>
  <c r="AS59" i="10"/>
  <c r="AS69" i="10"/>
  <c r="V64" i="10"/>
  <c r="V71" i="10" s="1"/>
  <c r="U64" i="10"/>
  <c r="U71" i="10" s="1"/>
  <c r="V62" i="10"/>
  <c r="W62" i="10" s="1"/>
  <c r="U62" i="10"/>
  <c r="BM62" i="10" s="1"/>
  <c r="Z66" i="10"/>
  <c r="Z69" i="10"/>
  <c r="AC67" i="10"/>
  <c r="T62" i="10"/>
  <c r="Y73" i="10"/>
  <c r="Y79" i="10" s="1"/>
  <c r="Z71" i="10"/>
  <c r="W56" i="10"/>
  <c r="W57" i="10"/>
  <c r="Y61" i="10"/>
  <c r="Y70" i="10" s="1"/>
  <c r="Y78" i="10"/>
  <c r="BJ75" i="10"/>
  <c r="U69" i="10"/>
  <c r="AC72" i="10"/>
  <c r="BJ72" i="10" s="1"/>
  <c r="W68" i="10"/>
  <c r="W55" i="10"/>
  <c r="AQ61" i="10"/>
  <c r="AQ70" i="10" s="1"/>
  <c r="AT59" i="10"/>
  <c r="AT61" i="10" s="1"/>
  <c r="AU54" i="10"/>
  <c r="AR59" i="10"/>
  <c r="AR61" i="10" s="1"/>
  <c r="AT69" i="10"/>
  <c r="AU67" i="10"/>
  <c r="Z59" i="10"/>
  <c r="AC54" i="10"/>
  <c r="AB59" i="10"/>
  <c r="S69" i="10"/>
  <c r="T67" i="10"/>
  <c r="S59" i="10"/>
  <c r="T54" i="10"/>
  <c r="W75" i="10"/>
  <c r="W65" i="10"/>
  <c r="T56" i="10"/>
  <c r="S66" i="10"/>
  <c r="T64" i="10"/>
  <c r="T58" i="10"/>
  <c r="T55" i="10"/>
  <c r="T68" i="10"/>
  <c r="BR69" i="10" l="1"/>
  <c r="BR71" i="10"/>
  <c r="BS59" i="10"/>
  <c r="BS61" i="10" s="1"/>
  <c r="BR59" i="10"/>
  <c r="BI76" i="10"/>
  <c r="BI79" i="10" s="1"/>
  <c r="AC76" i="10"/>
  <c r="BP78" i="10"/>
  <c r="BP80" i="10" s="1"/>
  <c r="BN62" i="10"/>
  <c r="AC71" i="10"/>
  <c r="BJ71" i="10" s="1"/>
  <c r="BJ73" i="10" s="1"/>
  <c r="AB73" i="10"/>
  <c r="AB79" i="10" s="1"/>
  <c r="AC66" i="10"/>
  <c r="AX59" i="10"/>
  <c r="BP70" i="10"/>
  <c r="BP74" i="10" s="1"/>
  <c r="BP77" i="10" s="1"/>
  <c r="AB78" i="10"/>
  <c r="BM59" i="10"/>
  <c r="BC69" i="10"/>
  <c r="BI66" i="10"/>
  <c r="BI78" i="10" s="1"/>
  <c r="BD69" i="10"/>
  <c r="BM64" i="10"/>
  <c r="BC59" i="10"/>
  <c r="AU66" i="10"/>
  <c r="BF61" i="10"/>
  <c r="BF70" i="10" s="1"/>
  <c r="BF74" i="10" s="1"/>
  <c r="BF77" i="10" s="1"/>
  <c r="BF78" i="10"/>
  <c r="BF80" i="10" s="1"/>
  <c r="AC69" i="10"/>
  <c r="BJ67" i="10"/>
  <c r="BJ69" i="10" s="1"/>
  <c r="AR73" i="10"/>
  <c r="AR79" i="10" s="1"/>
  <c r="BN76" i="10"/>
  <c r="AY76" i="10"/>
  <c r="BD76" i="10"/>
  <c r="BG61" i="10"/>
  <c r="BG70" i="10" s="1"/>
  <c r="BG78" i="10"/>
  <c r="AU69" i="10"/>
  <c r="Z73" i="10"/>
  <c r="Z79" i="10" s="1"/>
  <c r="BG71" i="10"/>
  <c r="BG73" i="10" s="1"/>
  <c r="BG79" i="10" s="1"/>
  <c r="AX69" i="10"/>
  <c r="BS66" i="10"/>
  <c r="AY66" i="10"/>
  <c r="BA78" i="10"/>
  <c r="BA80" i="10" s="1"/>
  <c r="BA61" i="10"/>
  <c r="BA70" i="10" s="1"/>
  <c r="BA74" i="10" s="1"/>
  <c r="BA77" i="10" s="1"/>
  <c r="BD66" i="10"/>
  <c r="BD59" i="10"/>
  <c r="BN64" i="10"/>
  <c r="BI61" i="10"/>
  <c r="AY69" i="10"/>
  <c r="BN69" i="10"/>
  <c r="AC59" i="10"/>
  <c r="AC61" i="10" s="1"/>
  <c r="BJ54" i="10"/>
  <c r="BJ59" i="10" s="1"/>
  <c r="AU71" i="10"/>
  <c r="BM69" i="10"/>
  <c r="BC71" i="10"/>
  <c r="BM71" i="10"/>
  <c r="AX71" i="10"/>
  <c r="BD71" i="10"/>
  <c r="BD73" i="10" s="1"/>
  <c r="BN71" i="10"/>
  <c r="BN73" i="10" s="1"/>
  <c r="AY71" i="10"/>
  <c r="AY73" i="10" s="1"/>
  <c r="AU59" i="10"/>
  <c r="AU61" i="10" s="1"/>
  <c r="BK78" i="10"/>
  <c r="BK80" i="10" s="1"/>
  <c r="BK61" i="10"/>
  <c r="BK70" i="10" s="1"/>
  <c r="BK74" i="10" s="1"/>
  <c r="BK77" i="10" s="1"/>
  <c r="BS73" i="10"/>
  <c r="BS79" i="10" s="1"/>
  <c r="BN59" i="10"/>
  <c r="AQ74" i="10"/>
  <c r="AQ77" i="10" s="1"/>
  <c r="AQ80" i="10"/>
  <c r="AE80" i="10"/>
  <c r="AE74" i="10"/>
  <c r="AE77" i="10" s="1"/>
  <c r="AI78" i="10"/>
  <c r="AH80" i="10"/>
  <c r="AI73" i="10"/>
  <c r="AI79" i="10" s="1"/>
  <c r="AH70" i="10"/>
  <c r="AH74" i="10" s="1"/>
  <c r="AH77" i="10" s="1"/>
  <c r="AG78" i="10"/>
  <c r="AG80" i="10" s="1"/>
  <c r="AG61" i="10"/>
  <c r="AG70" i="10" s="1"/>
  <c r="AG74" i="10" s="1"/>
  <c r="AG77" i="10" s="1"/>
  <c r="AF78" i="10"/>
  <c r="AF80" i="10" s="1"/>
  <c r="AF61" i="10"/>
  <c r="AF70" i="10" s="1"/>
  <c r="AF74" i="10" s="1"/>
  <c r="AF77" i="10" s="1"/>
  <c r="AI70" i="10"/>
  <c r="AT78" i="10"/>
  <c r="AR78" i="10"/>
  <c r="Z78" i="10"/>
  <c r="V66" i="10"/>
  <c r="T69" i="10"/>
  <c r="W64" i="10"/>
  <c r="W66" i="10" s="1"/>
  <c r="BJ76" i="10"/>
  <c r="T66" i="10"/>
  <c r="AT73" i="10"/>
  <c r="AT79" i="10" s="1"/>
  <c r="Y80" i="10"/>
  <c r="Y74" i="10"/>
  <c r="Y77" i="10" s="1"/>
  <c r="AR70" i="10"/>
  <c r="AT70" i="10"/>
  <c r="Z61" i="10"/>
  <c r="Z70" i="10" s="1"/>
  <c r="AB61" i="10"/>
  <c r="AB70" i="10" s="1"/>
  <c r="V73" i="10"/>
  <c r="V79" i="10" s="1"/>
  <c r="W71" i="10"/>
  <c r="U59" i="10"/>
  <c r="W72" i="10"/>
  <c r="T59" i="10"/>
  <c r="V69" i="10"/>
  <c r="W67" i="10"/>
  <c r="W69" i="10" s="1"/>
  <c r="S61" i="10"/>
  <c r="S70" i="10" s="1"/>
  <c r="S78" i="10"/>
  <c r="W76" i="10"/>
  <c r="V59" i="10"/>
  <c r="W54" i="10"/>
  <c r="W59" i="10" s="1"/>
  <c r="H68" i="10"/>
  <c r="H67" i="10"/>
  <c r="H58" i="10"/>
  <c r="BS78" i="10" l="1"/>
  <c r="BS80" i="10" s="1"/>
  <c r="O15" i="34" s="1"/>
  <c r="O9" i="34" s="1"/>
  <c r="BN66" i="10"/>
  <c r="BN78" i="10" s="1"/>
  <c r="AC73" i="10"/>
  <c r="AC79" i="10" s="1"/>
  <c r="AB74" i="10"/>
  <c r="AB77" i="10" s="1"/>
  <c r="Z80" i="10"/>
  <c r="AB80" i="10"/>
  <c r="Z74" i="10"/>
  <c r="Z77" i="10" s="1"/>
  <c r="BI80" i="10"/>
  <c r="K15" i="34" s="1"/>
  <c r="K9" i="34" s="1"/>
  <c r="AY79" i="10"/>
  <c r="BI70" i="10"/>
  <c r="BI74" i="10" s="1"/>
  <c r="BI77" i="10" s="1"/>
  <c r="BD79" i="10"/>
  <c r="BN79" i="10"/>
  <c r="AC78" i="10"/>
  <c r="AU70" i="10"/>
  <c r="AC70" i="10"/>
  <c r="BJ79" i="10"/>
  <c r="BG74" i="10"/>
  <c r="BG77" i="10" s="1"/>
  <c r="BJ61" i="10"/>
  <c r="BJ70" i="10" s="1"/>
  <c r="BJ74" i="10" s="1"/>
  <c r="BJ77" i="10" s="1"/>
  <c r="BJ78" i="10"/>
  <c r="BL68" i="10"/>
  <c r="AU78" i="10"/>
  <c r="AU73" i="10"/>
  <c r="AU79" i="10" s="1"/>
  <c r="BD61" i="10"/>
  <c r="BD70" i="10" s="1"/>
  <c r="BD74" i="10" s="1"/>
  <c r="BD77" i="10" s="1"/>
  <c r="BD78" i="10"/>
  <c r="BG80" i="10"/>
  <c r="BL58" i="10"/>
  <c r="BL67" i="10"/>
  <c r="AR80" i="10"/>
  <c r="AR74" i="10"/>
  <c r="AR77" i="10" s="1"/>
  <c r="BN61" i="10"/>
  <c r="BS70" i="10"/>
  <c r="BS74" i="10" s="1"/>
  <c r="BS77" i="10" s="1"/>
  <c r="AI80" i="10"/>
  <c r="AI74" i="10"/>
  <c r="AI77" i="10" s="1"/>
  <c r="AT80" i="10"/>
  <c r="AT74" i="10"/>
  <c r="AT77" i="10" s="1"/>
  <c r="T78" i="10"/>
  <c r="T61" i="10"/>
  <c r="T70" i="10" s="1"/>
  <c r="W78" i="10"/>
  <c r="W61" i="10"/>
  <c r="W70" i="10" s="1"/>
  <c r="V78" i="10"/>
  <c r="V80" i="10" s="1"/>
  <c r="V61" i="10"/>
  <c r="V70" i="10" s="1"/>
  <c r="V74" i="10" s="1"/>
  <c r="V77" i="10" s="1"/>
  <c r="W73" i="10"/>
  <c r="W79" i="10" s="1"/>
  <c r="H57" i="10"/>
  <c r="H56" i="10"/>
  <c r="H55" i="10"/>
  <c r="H54" i="10"/>
  <c r="BN70" i="10" l="1"/>
  <c r="BN74" i="10" s="1"/>
  <c r="BN77" i="10" s="1"/>
  <c r="AC74" i="10"/>
  <c r="AC77" i="10" s="1"/>
  <c r="AC80" i="10"/>
  <c r="BD80" i="10"/>
  <c r="I15" i="34" s="1"/>
  <c r="I9" i="34" s="1"/>
  <c r="BN80" i="10"/>
  <c r="M15" i="34" s="1"/>
  <c r="M9" i="34" s="1"/>
  <c r="BJ80" i="10"/>
  <c r="M10" i="34"/>
  <c r="G10" i="34"/>
  <c r="I10" i="34"/>
  <c r="O10" i="34"/>
  <c r="O12" i="34" s="1"/>
  <c r="K10" i="34"/>
  <c r="AU80" i="10"/>
  <c r="BL54" i="10"/>
  <c r="AU74" i="10"/>
  <c r="AU77" i="10" s="1"/>
  <c r="BL56" i="10"/>
  <c r="BL69" i="10"/>
  <c r="BL55" i="10"/>
  <c r="BL57" i="10"/>
  <c r="Q75" i="10"/>
  <c r="Q72" i="10"/>
  <c r="M59" i="10"/>
  <c r="W74" i="10"/>
  <c r="W77" i="10" s="1"/>
  <c r="W80" i="10"/>
  <c r="K65" i="10"/>
  <c r="H64" i="10"/>
  <c r="H71" i="10"/>
  <c r="H62" i="10"/>
  <c r="Q65" i="10"/>
  <c r="BT65" i="10" l="1"/>
  <c r="M12" i="34"/>
  <c r="AZ65" i="10"/>
  <c r="BO65" i="10"/>
  <c r="BE65" i="10"/>
  <c r="BL64" i="10"/>
  <c r="BL59" i="10"/>
  <c r="BL62" i="10"/>
  <c r="N64" i="10"/>
  <c r="AW64" i="10" s="1"/>
  <c r="M61" i="10"/>
  <c r="K72" i="10"/>
  <c r="BT72" i="10" s="1"/>
  <c r="P73" i="10"/>
  <c r="BQ64" i="10" l="1"/>
  <c r="BB64" i="10"/>
  <c r="BL66" i="10"/>
  <c r="BL78" i="10" s="1"/>
  <c r="AZ72" i="10"/>
  <c r="BE72" i="10"/>
  <c r="BO72" i="10"/>
  <c r="BL61" i="10"/>
  <c r="P79" i="10"/>
  <c r="Q76" i="10"/>
  <c r="N71" i="10"/>
  <c r="BQ71" i="10" s="1"/>
  <c r="BQ73" i="10" s="1"/>
  <c r="BQ79" i="10" s="1"/>
  <c r="M73" i="10"/>
  <c r="M79" i="10" s="1"/>
  <c r="Q64" i="10"/>
  <c r="BL70" i="10" l="1"/>
  <c r="N73" i="10"/>
  <c r="N79" i="10" s="1"/>
  <c r="AW71" i="10"/>
  <c r="AW73" i="10" s="1"/>
  <c r="AW79" i="10" s="1"/>
  <c r="BB71" i="10"/>
  <c r="BB73" i="10" s="1"/>
  <c r="BB79" i="10" s="1"/>
  <c r="S13" i="10"/>
  <c r="S21" i="10" s="1"/>
  <c r="Y13" i="10"/>
  <c r="Y21" i="10" s="1"/>
  <c r="AE13" i="10"/>
  <c r="AE21" i="10" s="1"/>
  <c r="AK13" i="10"/>
  <c r="AK21" i="10" s="1"/>
  <c r="AQ13" i="10"/>
  <c r="AQ21" i="10" s="1"/>
  <c r="N58" i="10" l="1"/>
  <c r="BQ58" i="10" s="1"/>
  <c r="AW58" i="10" l="1"/>
  <c r="BB58" i="10"/>
  <c r="K71" i="10"/>
  <c r="K64" i="10"/>
  <c r="BT64" i="10" s="1"/>
  <c r="O59" i="10"/>
  <c r="K75" i="10"/>
  <c r="BT75" i="10" s="1"/>
  <c r="BE75" i="10" l="1"/>
  <c r="BO75" i="10"/>
  <c r="AZ75" i="10"/>
  <c r="BE64" i="10"/>
  <c r="AZ64" i="10"/>
  <c r="BO64" i="10"/>
  <c r="BO71" i="10"/>
  <c r="BO73" i="10" s="1"/>
  <c r="K60" i="10"/>
  <c r="BT60" i="10" s="1"/>
  <c r="K76" i="10"/>
  <c r="BT76" i="10" s="1"/>
  <c r="Q71" i="10"/>
  <c r="Q73" i="10" s="1"/>
  <c r="Q79" i="10" s="1"/>
  <c r="BT71" i="10" l="1"/>
  <c r="BT73" i="10" s="1"/>
  <c r="BT79" i="10" s="1"/>
  <c r="BE71" i="10"/>
  <c r="BE73" i="10" s="1"/>
  <c r="BE60" i="10"/>
  <c r="BO60" i="10"/>
  <c r="AZ60" i="10"/>
  <c r="AZ76" i="10"/>
  <c r="BE76" i="10"/>
  <c r="BO76" i="10"/>
  <c r="AZ71" i="10"/>
  <c r="AZ73" i="10" s="1"/>
  <c r="E102" i="10"/>
  <c r="E103" i="10"/>
  <c r="E104" i="10"/>
  <c r="E105" i="10"/>
  <c r="E106" i="10"/>
  <c r="E107" i="10"/>
  <c r="E108" i="10"/>
  <c r="E101" i="10"/>
  <c r="K24" i="11"/>
  <c r="K22" i="11"/>
  <c r="BO79" i="10" l="1"/>
  <c r="BE79" i="10"/>
  <c r="AZ79" i="10"/>
  <c r="AS76" i="10"/>
  <c r="AS75" i="10"/>
  <c r="AS60" i="10"/>
  <c r="AA60" i="10"/>
  <c r="U60" i="10"/>
  <c r="U61" i="10" s="1"/>
  <c r="AS65" i="10"/>
  <c r="U65" i="10"/>
  <c r="U66" i="10" s="1"/>
  <c r="U78" i="10" s="1"/>
  <c r="AS72" i="10"/>
  <c r="AA65" i="10"/>
  <c r="AA75" i="10"/>
  <c r="BH75" i="10" s="1"/>
  <c r="O60" i="10"/>
  <c r="AA72" i="10"/>
  <c r="U75" i="10"/>
  <c r="U76" i="10"/>
  <c r="AA76" i="10"/>
  <c r="BH76" i="10" s="1"/>
  <c r="U72" i="10"/>
  <c r="U73" i="10" s="1"/>
  <c r="O76" i="10"/>
  <c r="I60" i="10"/>
  <c r="O72" i="10"/>
  <c r="O73" i="10" s="1"/>
  <c r="I72" i="10"/>
  <c r="I76" i="10"/>
  <c r="O65" i="10"/>
  <c r="O75" i="10"/>
  <c r="I75" i="10"/>
  <c r="BR75" i="10" l="1"/>
  <c r="BR76" i="10"/>
  <c r="U79" i="10"/>
  <c r="U80" i="10" s="1"/>
  <c r="AX75" i="10"/>
  <c r="BM75" i="10"/>
  <c r="BC75" i="10"/>
  <c r="AS73" i="10"/>
  <c r="AS79" i="10" s="1"/>
  <c r="BR72" i="10"/>
  <c r="BR73" i="10" s="1"/>
  <c r="AS66" i="10"/>
  <c r="BC76" i="10"/>
  <c r="AX76" i="10"/>
  <c r="BM76" i="10"/>
  <c r="AA73" i="10"/>
  <c r="AA79" i="10" s="1"/>
  <c r="BH72" i="10"/>
  <c r="BH73" i="10" s="1"/>
  <c r="AS61" i="10"/>
  <c r="BR60" i="10"/>
  <c r="BR61" i="10" s="1"/>
  <c r="AA61" i="10"/>
  <c r="BH60" i="10"/>
  <c r="BH61" i="10" s="1"/>
  <c r="BM72" i="10"/>
  <c r="BM73" i="10" s="1"/>
  <c r="BC72" i="10"/>
  <c r="BC73" i="10" s="1"/>
  <c r="AX72" i="10"/>
  <c r="AX73" i="10" s="1"/>
  <c r="BC60" i="10"/>
  <c r="BC61" i="10" s="1"/>
  <c r="BM60" i="10"/>
  <c r="BM61" i="10" s="1"/>
  <c r="AX60" i="10"/>
  <c r="AX61" i="10" s="1"/>
  <c r="AA66" i="10"/>
  <c r="AA78" i="10" s="1"/>
  <c r="BH65" i="10"/>
  <c r="BH66" i="10" s="1"/>
  <c r="BH78" i="10" s="1"/>
  <c r="U70" i="10"/>
  <c r="U74" i="10" s="1"/>
  <c r="U77" i="10" s="1"/>
  <c r="O79" i="10"/>
  <c r="O61" i="10"/>
  <c r="K58" i="10"/>
  <c r="K29" i="11"/>
  <c r="K28" i="11"/>
  <c r="P59" i="10" s="1"/>
  <c r="K23" i="11"/>
  <c r="K27" i="11"/>
  <c r="K26" i="11"/>
  <c r="K25" i="11"/>
  <c r="K21" i="11"/>
  <c r="K20" i="11"/>
  <c r="K19" i="11"/>
  <c r="K16" i="11"/>
  <c r="K15" i="11"/>
  <c r="K14" i="11"/>
  <c r="K13" i="11"/>
  <c r="K12" i="11"/>
  <c r="K11" i="11"/>
  <c r="K10" i="11"/>
  <c r="K9" i="11"/>
  <c r="K17" i="11"/>
  <c r="BO58" i="10" l="1"/>
  <c r="AA70" i="10"/>
  <c r="AA74" i="10" s="1"/>
  <c r="AA77" i="10" s="1"/>
  <c r="AS70" i="10"/>
  <c r="AS74" i="10" s="1"/>
  <c r="AS77" i="10" s="1"/>
  <c r="BH79" i="10"/>
  <c r="BH80" i="10" s="1"/>
  <c r="AS78" i="10"/>
  <c r="AS80" i="10" s="1"/>
  <c r="BR79" i="10"/>
  <c r="AA80" i="10"/>
  <c r="AX79" i="10"/>
  <c r="BC79" i="10"/>
  <c r="BM79" i="10"/>
  <c r="BH70" i="10"/>
  <c r="BH74" i="10" s="1"/>
  <c r="BH77" i="10" s="1"/>
  <c r="P61" i="10"/>
  <c r="E100" i="10"/>
  <c r="B106" i="10"/>
  <c r="M9" i="11" l="1"/>
  <c r="I65" i="10" l="1"/>
  <c r="BR65" i="10" s="1"/>
  <c r="BR66" i="10" s="1"/>
  <c r="K67" i="10"/>
  <c r="K68" i="10"/>
  <c r="K62" i="10"/>
  <c r="G66" i="10"/>
  <c r="G69" i="10"/>
  <c r="N54" i="10"/>
  <c r="BQ54" i="10" s="1"/>
  <c r="N55" i="10"/>
  <c r="BQ55" i="10" s="1"/>
  <c r="N56" i="10"/>
  <c r="BQ56" i="10" s="1"/>
  <c r="N57" i="10"/>
  <c r="BQ57" i="10" s="1"/>
  <c r="BQ59" i="10" l="1"/>
  <c r="BR78" i="10"/>
  <c r="BR80" i="10" s="1"/>
  <c r="BR70" i="10"/>
  <c r="BR74" i="10" s="1"/>
  <c r="BR77" i="10" s="1"/>
  <c r="BB55" i="10"/>
  <c r="AW55" i="10"/>
  <c r="AW56" i="10"/>
  <c r="BB56" i="10"/>
  <c r="BB54" i="10"/>
  <c r="AW54" i="10"/>
  <c r="BO62" i="10"/>
  <c r="BO66" i="10" s="1"/>
  <c r="BO68" i="10"/>
  <c r="BB57" i="10"/>
  <c r="AW57" i="10"/>
  <c r="BO67" i="10"/>
  <c r="AX65" i="10"/>
  <c r="AX66" i="10" s="1"/>
  <c r="BC65" i="10"/>
  <c r="BC66" i="10" s="1"/>
  <c r="BM65" i="10"/>
  <c r="BM66" i="10" s="1"/>
  <c r="M69" i="10"/>
  <c r="N59" i="10"/>
  <c r="N61" i="10" s="1"/>
  <c r="H66" i="10"/>
  <c r="Q68" i="10"/>
  <c r="BE68" i="10" s="1"/>
  <c r="K54" i="10"/>
  <c r="I66" i="10"/>
  <c r="I69" i="10"/>
  <c r="I73" i="10"/>
  <c r="I79" i="10" s="1"/>
  <c r="K57" i="10"/>
  <c r="K56" i="10"/>
  <c r="H69" i="10"/>
  <c r="N68" i="10"/>
  <c r="BQ68" i="10" s="1"/>
  <c r="K55" i="10"/>
  <c r="G59" i="10"/>
  <c r="G78" i="10" s="1"/>
  <c r="N67" i="10"/>
  <c r="BQ67" i="10" s="1"/>
  <c r="BQ69" i="10" l="1"/>
  <c r="BQ61" i="10"/>
  <c r="BT68" i="10"/>
  <c r="BO69" i="10"/>
  <c r="BO56" i="10"/>
  <c r="BO57" i="10"/>
  <c r="BB59" i="10"/>
  <c r="AW67" i="10"/>
  <c r="BB67" i="10"/>
  <c r="AZ68" i="10"/>
  <c r="BB68" i="10"/>
  <c r="AW68" i="10"/>
  <c r="BO55" i="10"/>
  <c r="BO54" i="10"/>
  <c r="BM78" i="10"/>
  <c r="BM80" i="10" s="1"/>
  <c r="BM70" i="10"/>
  <c r="BM74" i="10" s="1"/>
  <c r="BM77" i="10" s="1"/>
  <c r="BC78" i="10"/>
  <c r="BC80" i="10" s="1"/>
  <c r="BC70" i="10"/>
  <c r="BC74" i="10" s="1"/>
  <c r="BC77" i="10" s="1"/>
  <c r="AX78" i="10"/>
  <c r="AX80" i="10" s="1"/>
  <c r="AX70" i="10"/>
  <c r="AX74" i="10" s="1"/>
  <c r="AX77" i="10" s="1"/>
  <c r="N69" i="10"/>
  <c r="O69" i="10"/>
  <c r="Q67" i="10"/>
  <c r="BT67" i="10" s="1"/>
  <c r="P69" i="10"/>
  <c r="AV59" i="10"/>
  <c r="K73" i="10"/>
  <c r="K79" i="10" s="1"/>
  <c r="G61" i="10"/>
  <c r="G70" i="10" s="1"/>
  <c r="J59" i="10"/>
  <c r="I59" i="10"/>
  <c r="I78" i="10" s="1"/>
  <c r="I80" i="10" s="1"/>
  <c r="G73" i="10"/>
  <c r="G79" i="10" s="1"/>
  <c r="G80" i="10" s="1"/>
  <c r="H59" i="10"/>
  <c r="H78" i="10" s="1"/>
  <c r="BK13" i="10"/>
  <c r="BF13" i="10"/>
  <c r="BA13" i="10"/>
  <c r="M13" i="10"/>
  <c r="M21" i="10" s="1"/>
  <c r="G13" i="10"/>
  <c r="G21" i="10" s="1"/>
  <c r="BM27" i="10" l="1"/>
  <c r="BM23" i="10"/>
  <c r="BN27" i="10"/>
  <c r="BN26" i="10"/>
  <c r="BM30" i="10"/>
  <c r="BM26" i="10"/>
  <c r="BM24" i="10"/>
  <c r="BN29" i="10"/>
  <c r="BN25" i="10"/>
  <c r="BM29" i="10"/>
  <c r="BM25" i="10"/>
  <c r="BN24" i="10"/>
  <c r="BN23" i="10"/>
  <c r="BC24" i="10"/>
  <c r="BD26" i="10"/>
  <c r="BC23" i="10"/>
  <c r="BD24" i="10"/>
  <c r="BC30" i="10"/>
  <c r="BC26" i="10"/>
  <c r="BD23" i="10"/>
  <c r="BC25" i="10"/>
  <c r="BD25" i="10"/>
  <c r="BD27" i="10"/>
  <c r="BC27" i="10"/>
  <c r="BC29" i="10"/>
  <c r="BD29" i="10"/>
  <c r="BI27" i="10"/>
  <c r="BI25" i="10"/>
  <c r="BI24" i="10"/>
  <c r="BI23" i="10"/>
  <c r="BI26" i="10"/>
  <c r="BH23" i="10"/>
  <c r="BH30" i="10"/>
  <c r="BH29" i="10"/>
  <c r="BH27" i="10"/>
  <c r="BH26" i="10"/>
  <c r="BH25" i="10"/>
  <c r="BH24" i="10"/>
  <c r="BI29" i="10"/>
  <c r="BK21" i="10"/>
  <c r="BF21" i="10"/>
  <c r="BA21" i="10"/>
  <c r="BT69" i="10"/>
  <c r="BB69" i="10"/>
  <c r="AV61" i="10"/>
  <c r="AV70" i="10" s="1"/>
  <c r="AV74" i="10" s="1"/>
  <c r="AV77" i="10" s="1"/>
  <c r="AV78" i="10"/>
  <c r="AV80" i="10" s="1"/>
  <c r="Q69" i="10"/>
  <c r="AZ67" i="10"/>
  <c r="AZ69" i="10" s="1"/>
  <c r="BE67" i="10"/>
  <c r="BE69" i="10" s="1"/>
  <c r="BO59" i="10"/>
  <c r="BB61" i="10"/>
  <c r="AW69" i="10"/>
  <c r="AY59" i="10"/>
  <c r="G74" i="10"/>
  <c r="AW59" i="10"/>
  <c r="AW61" i="10" s="1"/>
  <c r="J73" i="10"/>
  <c r="J79" i="10" s="1"/>
  <c r="H73" i="10"/>
  <c r="H79" i="10" s="1"/>
  <c r="H80" i="10" s="1"/>
  <c r="H61" i="10"/>
  <c r="H70" i="10" s="1"/>
  <c r="I61" i="10"/>
  <c r="I70" i="10" s="1"/>
  <c r="J61" i="10"/>
  <c r="BO78" i="10" l="1"/>
  <c r="BO80" i="10" s="1"/>
  <c r="BO61" i="10"/>
  <c r="BO70" i="10" s="1"/>
  <c r="BO74" i="10" s="1"/>
  <c r="BO77" i="10" s="1"/>
  <c r="AY61" i="10"/>
  <c r="AY70" i="10" s="1"/>
  <c r="AY74" i="10" s="1"/>
  <c r="AY77" i="10" s="1"/>
  <c r="AY78" i="10"/>
  <c r="AY80" i="10" s="1"/>
  <c r="I74" i="10"/>
  <c r="I77" i="10" s="1"/>
  <c r="H74" i="10"/>
  <c r="H77" i="10" s="1"/>
  <c r="G77" i="10"/>
  <c r="G15" i="34" l="1"/>
  <c r="G9" i="34" s="1"/>
  <c r="G12" i="34" s="1"/>
  <c r="E17" i="27"/>
  <c r="D17" i="27"/>
  <c r="D33" i="12"/>
  <c r="E33" i="12" s="1"/>
  <c r="D32" i="12"/>
  <c r="E32" i="12" s="1"/>
  <c r="G31" i="12"/>
  <c r="H31" i="12" s="1"/>
  <c r="D31" i="12"/>
  <c r="E31" i="12" s="1"/>
  <c r="H29" i="12"/>
  <c r="D31" i="27"/>
  <c r="E31" i="27" s="1"/>
  <c r="D34" i="27"/>
  <c r="E34" i="27" s="1"/>
  <c r="D33" i="27"/>
  <c r="E33" i="27" s="1"/>
  <c r="H29" i="27"/>
  <c r="G28" i="12"/>
  <c r="H28" i="12" s="1"/>
  <c r="G27" i="12"/>
  <c r="G32" i="12" s="1"/>
  <c r="H32" i="12" s="1"/>
  <c r="G25" i="12"/>
  <c r="H25" i="12" s="1"/>
  <c r="G28" i="27"/>
  <c r="G34" i="27" s="1"/>
  <c r="H34" i="27" s="1"/>
  <c r="G27" i="27"/>
  <c r="H27" i="27" s="1"/>
  <c r="G26" i="27"/>
  <c r="G32" i="27" s="1"/>
  <c r="H32" i="27" s="1"/>
  <c r="G25" i="27"/>
  <c r="H25" i="27" s="1"/>
  <c r="G33" i="12" l="1"/>
  <c r="H33" i="12" s="1"/>
  <c r="H27" i="12"/>
  <c r="H26" i="27"/>
  <c r="G33" i="27"/>
  <c r="H33" i="27" s="1"/>
  <c r="G31" i="27"/>
  <c r="H31" i="27" s="1"/>
  <c r="H28" i="27"/>
  <c r="Q57" i="10" l="1"/>
  <c r="BT57" i="10" s="1"/>
  <c r="Q56" i="10"/>
  <c r="BT56" i="10" s="1"/>
  <c r="F12" i="12"/>
  <c r="C12" i="27"/>
  <c r="E12" i="27"/>
  <c r="D12" i="27"/>
  <c r="F12" i="27"/>
  <c r="E12" i="12"/>
  <c r="D12" i="12"/>
  <c r="I40" i="12"/>
  <c r="L42" i="12"/>
  <c r="K43" i="12"/>
  <c r="L43" i="12" s="1"/>
  <c r="K44" i="12"/>
  <c r="L44" i="12" s="1"/>
  <c r="K46" i="12"/>
  <c r="L46" i="12" s="1"/>
  <c r="D32" i="27"/>
  <c r="E32" i="27" s="1"/>
  <c r="H40" i="27"/>
  <c r="L42" i="27"/>
  <c r="K44" i="27"/>
  <c r="L44" i="27" s="1"/>
  <c r="K45" i="27"/>
  <c r="L45" i="27" s="1"/>
  <c r="E19" i="7"/>
  <c r="F19" i="7"/>
  <c r="G19" i="7"/>
  <c r="I19" i="7"/>
  <c r="J19" i="7"/>
  <c r="D24" i="7"/>
  <c r="K36" i="7"/>
  <c r="G37" i="7"/>
  <c r="G39" i="7"/>
  <c r="G42" i="7"/>
  <c r="G43" i="7"/>
  <c r="G44" i="7"/>
  <c r="G45" i="7"/>
  <c r="G46" i="7"/>
  <c r="G47" i="7"/>
  <c r="M69" i="7"/>
  <c r="K72" i="7"/>
  <c r="K73" i="7"/>
  <c r="K74" i="7"/>
  <c r="B97" i="10"/>
  <c r="B98" i="10"/>
  <c r="E98" i="10"/>
  <c r="B99" i="10"/>
  <c r="B100" i="10"/>
  <c r="E99" i="10"/>
  <c r="B101" i="10"/>
  <c r="B102" i="10"/>
  <c r="B103" i="10"/>
  <c r="B104" i="10"/>
  <c r="B105" i="10"/>
  <c r="BE56" i="10" l="1"/>
  <c r="AZ56" i="10"/>
  <c r="AZ57" i="10"/>
  <c r="BE57" i="10"/>
  <c r="Q54" i="10"/>
  <c r="BT54" i="10" s="1"/>
  <c r="Q55" i="10"/>
  <c r="BT55" i="10" s="1"/>
  <c r="J66" i="10"/>
  <c r="Q58" i="10"/>
  <c r="BT58" i="10" s="1"/>
  <c r="E13" i="12"/>
  <c r="D15" i="12" s="1"/>
  <c r="E13" i="27"/>
  <c r="D15" i="27" s="1"/>
  <c r="D16" i="27" s="1"/>
  <c r="K43" i="27"/>
  <c r="K45" i="12"/>
  <c r="L45" i="12" s="1"/>
  <c r="L47" i="12" s="1"/>
  <c r="K46" i="27"/>
  <c r="L46" i="27" s="1"/>
  <c r="BT59" i="10" l="1"/>
  <c r="BT61" i="10" s="1"/>
  <c r="BE58" i="10"/>
  <c r="AZ58" i="10"/>
  <c r="BE54" i="10"/>
  <c r="AZ54" i="10"/>
  <c r="BE55" i="10"/>
  <c r="AZ55" i="10"/>
  <c r="K47" i="12"/>
  <c r="D17" i="12"/>
  <c r="E17" i="12"/>
  <c r="D16" i="12"/>
  <c r="Q59" i="10"/>
  <c r="K66" i="10"/>
  <c r="K69" i="10"/>
  <c r="J69" i="10"/>
  <c r="J78" i="10" s="1"/>
  <c r="J80" i="10" s="1"/>
  <c r="E15" i="34" s="1"/>
  <c r="E15" i="12"/>
  <c r="E16" i="12" s="1"/>
  <c r="E15" i="27"/>
  <c r="E16" i="27" s="1"/>
  <c r="L43" i="27"/>
  <c r="L47" i="27" s="1"/>
  <c r="K47" i="27"/>
  <c r="BE59" i="10" l="1"/>
  <c r="Q61" i="10"/>
  <c r="J70" i="10"/>
  <c r="K59" i="10"/>
  <c r="K78" i="10" s="1"/>
  <c r="K80" i="10" s="1"/>
  <c r="D18" i="12"/>
  <c r="D20" i="12" s="1"/>
  <c r="D21" i="12" s="1"/>
  <c r="D19" i="12"/>
  <c r="E18" i="12"/>
  <c r="E20" i="12" s="1"/>
  <c r="E19" i="12"/>
  <c r="H19" i="12" s="1"/>
  <c r="K41" i="12"/>
  <c r="D19" i="27"/>
  <c r="D18" i="27"/>
  <c r="D20" i="27" s="1"/>
  <c r="D21" i="27" s="1"/>
  <c r="K41" i="27"/>
  <c r="L41" i="27" s="1"/>
  <c r="L48" i="27" s="1"/>
  <c r="E18" i="27"/>
  <c r="E20" i="27" s="1"/>
  <c r="E19" i="27"/>
  <c r="G19" i="27" s="1"/>
  <c r="BE61" i="10" l="1"/>
  <c r="J74" i="10"/>
  <c r="J77" i="10" s="1"/>
  <c r="AZ59" i="10"/>
  <c r="K61" i="10"/>
  <c r="K70" i="10" s="1"/>
  <c r="L49" i="12"/>
  <c r="K48" i="12"/>
  <c r="L41" i="12"/>
  <c r="L48" i="12" s="1"/>
  <c r="E21" i="12"/>
  <c r="H21" i="12" s="1"/>
  <c r="H20" i="12"/>
  <c r="L49" i="27"/>
  <c r="K48" i="27"/>
  <c r="G20" i="27"/>
  <c r="E21" i="27"/>
  <c r="G21" i="27" s="1"/>
  <c r="AZ61" i="10" l="1"/>
  <c r="N62" i="10"/>
  <c r="BQ62" i="10" s="1"/>
  <c r="BQ66" i="10" s="1"/>
  <c r="M66" i="10"/>
  <c r="K74" i="10"/>
  <c r="K77" i="10" s="1"/>
  <c r="P66" i="10"/>
  <c r="O66" i="10"/>
  <c r="BQ78" i="10" l="1"/>
  <c r="BQ80" i="10" s="1"/>
  <c r="BQ70" i="10"/>
  <c r="BQ74" i="10" s="1"/>
  <c r="BQ77" i="10" s="1"/>
  <c r="N66" i="10"/>
  <c r="N78" i="10" s="1"/>
  <c r="N80" i="10" s="1"/>
  <c r="BB62" i="10"/>
  <c r="BB66" i="10" s="1"/>
  <c r="AW62" i="10"/>
  <c r="AW66" i="10" s="1"/>
  <c r="M78" i="10"/>
  <c r="M80" i="10" s="1"/>
  <c r="M70" i="10"/>
  <c r="M74" i="10" s="1"/>
  <c r="M77" i="10" s="1"/>
  <c r="O78" i="10"/>
  <c r="O80" i="10" s="1"/>
  <c r="O70" i="10"/>
  <c r="O74" i="10" s="1"/>
  <c r="O77" i="10" s="1"/>
  <c r="P78" i="10"/>
  <c r="P80" i="10" s="1"/>
  <c r="P70" i="10"/>
  <c r="P74" i="10" s="1"/>
  <c r="P77" i="10" s="1"/>
  <c r="Q62" i="10"/>
  <c r="BT62" i="10" s="1"/>
  <c r="BT66" i="10" s="1"/>
  <c r="BT78" i="10" l="1"/>
  <c r="BT80" i="10" s="1"/>
  <c r="BT70" i="10"/>
  <c r="BT74" i="10" s="1"/>
  <c r="BT77" i="10" s="1"/>
  <c r="N70" i="10"/>
  <c r="N74" i="10" s="1"/>
  <c r="N77" i="10" s="1"/>
  <c r="Q66" i="10"/>
  <c r="Q78" i="10" s="1"/>
  <c r="Q80" i="10" s="1"/>
  <c r="AZ62" i="10"/>
  <c r="AZ66" i="10" s="1"/>
  <c r="BE62" i="10"/>
  <c r="BE66" i="10" s="1"/>
  <c r="AW78" i="10"/>
  <c r="AW80" i="10" s="1"/>
  <c r="AW70" i="10"/>
  <c r="AW74" i="10" s="1"/>
  <c r="AW77" i="10" s="1"/>
  <c r="BB78" i="10"/>
  <c r="BB80" i="10" s="1"/>
  <c r="BB70" i="10"/>
  <c r="BB74" i="10" s="1"/>
  <c r="BB77" i="10" s="1"/>
  <c r="Q70" i="10" l="1"/>
  <c r="Q74" i="10" s="1"/>
  <c r="Q77" i="10" s="1"/>
  <c r="BE78" i="10"/>
  <c r="BE80" i="10" s="1"/>
  <c r="BE70" i="10"/>
  <c r="BE74" i="10" s="1"/>
  <c r="BE77" i="10" s="1"/>
  <c r="AZ78" i="10"/>
  <c r="AZ80" i="10" s="1"/>
  <c r="AZ70" i="10"/>
  <c r="AZ74" i="10" s="1"/>
  <c r="AZ77" i="10" s="1"/>
  <c r="S73" i="10"/>
  <c r="S74" i="10" s="1"/>
  <c r="S77" i="10" s="1"/>
  <c r="T71" i="10"/>
  <c r="T73" i="10" l="1"/>
  <c r="T74" i="10" s="1"/>
  <c r="T77" i="10" s="1"/>
  <c r="BL71" i="10"/>
  <c r="BL73" i="10" s="1"/>
  <c r="S79" i="10"/>
  <c r="S80" i="10" s="1"/>
  <c r="T79" i="10" l="1"/>
  <c r="T80" i="10" s="1"/>
  <c r="BL79" i="10"/>
  <c r="BL80" i="10" s="1"/>
  <c r="BL74" i="10"/>
  <c r="BL77" i="10" s="1"/>
  <c r="I12" i="34"/>
</calcChain>
</file>

<file path=xl/sharedStrings.xml><?xml version="1.0" encoding="utf-8"?>
<sst xmlns="http://schemas.openxmlformats.org/spreadsheetml/2006/main" count="1156" uniqueCount="523">
  <si>
    <t>Portland Cement Total</t>
  </si>
  <si>
    <t>100% Portland Cement</t>
  </si>
  <si>
    <t>Colour code used in this workbook</t>
  </si>
  <si>
    <t>Colour</t>
  </si>
  <si>
    <t>Code</t>
  </si>
  <si>
    <t>Table headings</t>
  </si>
  <si>
    <t>Input data</t>
  </si>
  <si>
    <t>Calculated cells and links to other cells</t>
  </si>
  <si>
    <t>Total</t>
  </si>
  <si>
    <t>Extraction</t>
  </si>
  <si>
    <t>Production</t>
  </si>
  <si>
    <t>Units</t>
  </si>
  <si>
    <t>100% MgO</t>
  </si>
  <si>
    <t>Austin, G., (1984), Shreve’s Chemical Process Industries, McGraw Hill, Sydney.</t>
  </si>
  <si>
    <t xml:space="preserve">Aylward, G.H., Findlay, T.J.V., (1974), SI Chemical Data, John Wiley &amp; Sons, Hong Kong. </t>
  </si>
  <si>
    <t>Granular Flow Research</t>
  </si>
  <si>
    <t>More information needed</t>
  </si>
  <si>
    <t xml:space="preserve">Total </t>
  </si>
  <si>
    <t>Raw materials transport</t>
  </si>
  <si>
    <t xml:space="preserve">Raw materials </t>
  </si>
  <si>
    <t>Buzzi-Unicem (Italy)</t>
  </si>
  <si>
    <t>Cimpor (Italy)</t>
  </si>
  <si>
    <r>
      <t xml:space="preserve">Australian Greenhouse Office (2005), </t>
    </r>
    <r>
      <rPr>
        <i/>
        <sz val="12"/>
        <rFont val="Arial"/>
        <family val="2"/>
      </rPr>
      <t>Methods and Factors workbook</t>
    </r>
    <r>
      <rPr>
        <sz val="12"/>
        <rFont val="Arial"/>
        <family val="2"/>
      </rPr>
      <t>, from www.greenhouse.gov.au</t>
    </r>
  </si>
  <si>
    <r>
      <t xml:space="preserve">Chaturvedi, S.(2004), </t>
    </r>
    <r>
      <rPr>
        <i/>
        <sz val="12"/>
        <rFont val="Arial"/>
        <family val="2"/>
      </rPr>
      <t>Strategies for Mitigating Adverse Environmental Impacts Due to Structural Building Materials</t>
    </r>
    <r>
      <rPr>
        <sz val="12"/>
        <rFont val="Arial"/>
        <family val="2"/>
      </rPr>
      <t>, Master of Science Dissertation, Massachusetts Institute of Technology</t>
    </r>
  </si>
  <si>
    <r>
      <t xml:space="preserve">Flower, D.J.M, Sanjayan, J. G., Baweja, D., </t>
    </r>
    <r>
      <rPr>
        <i/>
        <sz val="12"/>
        <rFont val="Arial"/>
        <family val="2"/>
      </rPr>
      <t>Environmental Impacts of Concrete Production and Placement</t>
    </r>
    <r>
      <rPr>
        <sz val="12"/>
        <rFont val="Arial"/>
        <family val="2"/>
      </rPr>
      <t>, Monash University, Melbourne, Victoria</t>
    </r>
  </si>
  <si>
    <r>
      <t xml:space="preserve">Heidrich, C., Hinczak, I., Ryan, B., (2005), </t>
    </r>
    <r>
      <rPr>
        <i/>
        <sz val="12"/>
        <rFont val="Arial"/>
        <family val="2"/>
      </rPr>
      <t>SCM’s potential to lower Australia’s greenhouse gas emissions profile</t>
    </r>
    <r>
      <rPr>
        <sz val="12"/>
        <rFont val="Arial"/>
        <family val="2"/>
      </rPr>
      <t>, Australasian Slag Association Annual Conference, from www.asa-inc.org.au.</t>
    </r>
  </si>
  <si>
    <r>
      <t xml:space="preserve">Buzzi-Unicem (2001) – Rapporto ambiente e sicurezza 2001. </t>
    </r>
    <r>
      <rPr>
        <sz val="12"/>
        <color indexed="12"/>
        <rFont val="Arial"/>
        <family val="2"/>
      </rPr>
      <t>http://www.buzziunicem.it</t>
    </r>
  </si>
  <si>
    <t>Taiheiyo (Virgin PC)</t>
  </si>
  <si>
    <t>Taiheiyo (Average all cement)</t>
  </si>
  <si>
    <t>Taiheiyo Environmental Report 2000, Life Cycle Assessment (LCA) of Cement and Concrete</t>
  </si>
  <si>
    <t>Kiln Process</t>
  </si>
  <si>
    <t>Wet process</t>
  </si>
  <si>
    <t>Long dry process</t>
  </si>
  <si>
    <t>1-stage cyclone preheater</t>
  </si>
  <si>
    <t>4-stage cyclone preheater</t>
  </si>
  <si>
    <t>2-stage cyclone preheater</t>
  </si>
  <si>
    <t>5-stage preheater plus calciner plus high efficiency cooler</t>
  </si>
  <si>
    <t>6-stage preheater plus calciner plus high efficiency cooler</t>
  </si>
  <si>
    <t>Cement Industry Federation</t>
  </si>
  <si>
    <t>4-stage cyclone preheater plus calciner</t>
  </si>
  <si>
    <t>Hendriks et. Al.</t>
  </si>
  <si>
    <t>Short dry</t>
  </si>
  <si>
    <t>Shaft kiln</t>
  </si>
  <si>
    <t>Lepol</t>
  </si>
  <si>
    <t>Finished goods transport</t>
  </si>
  <si>
    <t>WBCSD, Five Winds International, (March, 2002) "Towards a Sustainable Cement Industry. What LCA Can Tell Us About The Cement Industry"</t>
  </si>
  <si>
    <t>Athena SMI report - Venta George J., September 1998 “Life Cycle Analysis of Brick and Mortar Products”. Venta, Glaser &amp; Associates.</t>
  </si>
  <si>
    <t>World average</t>
  </si>
  <si>
    <r>
      <t xml:space="preserve">Hendriks, C. A., Worrell, E., de Jager, D., Blok, K., Riemer, P., (2002?) </t>
    </r>
    <r>
      <rPr>
        <i/>
        <sz val="12"/>
        <rFont val="Arial"/>
        <family val="2"/>
      </rPr>
      <t>Emission Reduction of Greenhouse Gases from the Cement Industry</t>
    </r>
    <r>
      <rPr>
        <sz val="12"/>
        <rFont val="Arial"/>
        <family val="2"/>
      </rPr>
      <t>, Greenhouse Gas Control Technologies Conference, International Energy Agency, www.ieagreen.org.uk</t>
    </r>
  </si>
  <si>
    <t>Transportation (incl. electricity)</t>
  </si>
  <si>
    <t>Athena Reports (Canada only)</t>
  </si>
  <si>
    <t>Electricity (excl transportation)</t>
  </si>
  <si>
    <t>Group A (All energies)</t>
  </si>
  <si>
    <t>Cement Industry Federation Technical Page at http://www.cement.org.au/technical/cement_production_right.htm</t>
  </si>
  <si>
    <t>Canadian avarage</t>
  </si>
  <si>
    <t>Finish grinding</t>
  </si>
  <si>
    <t>Primary crushing</t>
  </si>
  <si>
    <t>Secondary crushing</t>
  </si>
  <si>
    <t>Raw grinding</t>
  </si>
  <si>
    <t>Decarboxylation</t>
  </si>
  <si>
    <t>USGS, van Oss, Hendrick, Minerals Handbook, Cement 2004</t>
  </si>
  <si>
    <t>Heating kiln</t>
  </si>
  <si>
    <t>.57 - 1.09</t>
  </si>
  <si>
    <t>.182 - .355</t>
  </si>
  <si>
    <t>Energy Sources</t>
  </si>
  <si>
    <t>Kiln process</t>
  </si>
  <si>
    <t>Estimate</t>
  </si>
  <si>
    <t>Pre-kiln process</t>
  </si>
  <si>
    <t>Should no be changed.</t>
  </si>
  <si>
    <t>Ref</t>
  </si>
  <si>
    <t>Portland cement</t>
  </si>
  <si>
    <t>Raw materials transportation</t>
  </si>
  <si>
    <t>Emission Factors</t>
  </si>
  <si>
    <t>LPG (transport)</t>
  </si>
  <si>
    <t>Natural gas LDV (transport)</t>
  </si>
  <si>
    <t>Natural gas HDV (transport)</t>
  </si>
  <si>
    <t>Transport</t>
  </si>
  <si>
    <t>Industrial diesel</t>
  </si>
  <si>
    <t>Natural gas</t>
  </si>
  <si>
    <t>Petrol</t>
  </si>
  <si>
    <t>Fuel Oil</t>
  </si>
  <si>
    <t>Brown coal</t>
  </si>
  <si>
    <t>Wind</t>
  </si>
  <si>
    <t>Hydro</t>
  </si>
  <si>
    <t>Used and converted</t>
  </si>
  <si>
    <t>Portland Cement</t>
  </si>
  <si>
    <t>Chemical Release (kg CO2-e/kg)</t>
  </si>
  <si>
    <t>Taylor, H F W, Cement Chemistry, Thomas Telford, 1998, page 61 (After Ziegler)</t>
  </si>
  <si>
    <t>Evaporation of water</t>
  </si>
  <si>
    <t>Heat lost in exit gases or dust</t>
  </si>
  <si>
    <t>Heat lost in air from cooler</t>
  </si>
  <si>
    <t>Heat lost by radiation and convection</t>
  </si>
  <si>
    <t>Heat lost in product</t>
  </si>
  <si>
    <t xml:space="preserve">          Mixing, segregation and heat transfer</t>
  </si>
  <si>
    <t xml:space="preserve">                                 Comparison of TecEco and Typical Portland Cements</t>
  </si>
  <si>
    <t>TecEco calculation</t>
  </si>
  <si>
    <t>References and Notes</t>
  </si>
  <si>
    <t>Taylor</t>
  </si>
  <si>
    <t>Theoretical kiln energy</t>
  </si>
  <si>
    <t>Hukki, R. T., 1975, The Principles of Comminution: an Analytical Summary, Engineering and Mining Journal, Vol. 176 pp 106-110</t>
  </si>
  <si>
    <t xml:space="preserve">Willis, B. A. 1988 Enhancement of Mineral Liberation, Proceedings of XVI International Minerals Processing Congress, pp 293-297 </t>
  </si>
  <si>
    <t>Energy</t>
  </si>
  <si>
    <t>MgO</t>
  </si>
  <si>
    <t>Decomposition magnesite</t>
  </si>
  <si>
    <t>NOTES</t>
  </si>
  <si>
    <t>Kwh per megajoule</t>
  </si>
  <si>
    <t>TecEco (Calculated and estimate)</t>
  </si>
  <si>
    <t>Notes</t>
  </si>
  <si>
    <r>
      <t>Temperature of process</t>
    </r>
    <r>
      <rPr>
        <vertAlign val="superscript"/>
        <sz val="12"/>
        <rFont val="Arial"/>
        <family val="2"/>
      </rPr>
      <t xml:space="preserve"> 0</t>
    </r>
    <r>
      <rPr>
        <sz val="12"/>
        <rFont val="Arial"/>
        <family val="2"/>
      </rPr>
      <t>K</t>
    </r>
  </si>
  <si>
    <t>Same as Portland Cement</t>
  </si>
  <si>
    <t>Figure from Portland cement adjusted for temperature difference to which assumed  proportional</t>
  </si>
  <si>
    <t>Figure from Portland cement adjusted for square of temperature difference to which assumed  proportional</t>
  </si>
  <si>
    <t>Chemical emissions</t>
  </si>
  <si>
    <t>Emissions - rel to oxide formed</t>
  </si>
  <si>
    <t>Emissions - rel to hydroxide once hydrated</t>
  </si>
  <si>
    <t>Emissions - rel to carbonate source rock</t>
  </si>
  <si>
    <t>MgO +</t>
  </si>
  <si>
    <t xml:space="preserve">Mineral_Name </t>
  </si>
  <si>
    <t>Mineral_Formula (Number in brackets is total number of atoms in formula)</t>
  </si>
  <si>
    <t>Free Energy of Formation</t>
  </si>
  <si>
    <r>
      <t>D</t>
    </r>
    <r>
      <rPr>
        <b/>
        <sz val="12"/>
        <rFont val="Arial"/>
        <family val="2"/>
      </rPr>
      <t>G</t>
    </r>
    <r>
      <rPr>
        <b/>
        <vertAlign val="superscript"/>
        <sz val="12"/>
        <rFont val="Arial"/>
        <family val="2"/>
      </rPr>
      <t>o</t>
    </r>
    <r>
      <rPr>
        <b/>
        <vertAlign val="subscript"/>
        <sz val="12"/>
        <rFont val="Arial"/>
        <family val="2"/>
      </rPr>
      <t>f</t>
    </r>
    <r>
      <rPr>
        <b/>
        <sz val="12"/>
        <rFont val="Arial"/>
        <family val="2"/>
      </rPr>
      <t xml:space="preserve"> (kJ.mol</t>
    </r>
    <r>
      <rPr>
        <b/>
        <vertAlign val="superscript"/>
        <sz val="12"/>
        <rFont val="Arial"/>
        <family val="2"/>
      </rPr>
      <t>-1</t>
    </r>
    <r>
      <rPr>
        <sz val="12"/>
        <rFont val="Arial"/>
        <family val="2"/>
      </rPr>
      <t>)</t>
    </r>
  </si>
  <si>
    <t>Enthalpy of Formation</t>
  </si>
  <si>
    <r>
      <t>D</t>
    </r>
    <r>
      <rPr>
        <b/>
        <sz val="12"/>
        <rFont val="Arial"/>
        <family val="2"/>
      </rPr>
      <t>H</t>
    </r>
    <r>
      <rPr>
        <b/>
        <vertAlign val="superscript"/>
        <sz val="12"/>
        <rFont val="Arial"/>
        <family val="2"/>
      </rPr>
      <t>o</t>
    </r>
    <r>
      <rPr>
        <b/>
        <vertAlign val="subscript"/>
        <sz val="12"/>
        <rFont val="Arial"/>
        <family val="2"/>
      </rPr>
      <t>f</t>
    </r>
    <r>
      <rPr>
        <sz val="12"/>
        <rFont val="Arial"/>
        <family val="2"/>
      </rPr>
      <t xml:space="preserve"> (</t>
    </r>
    <r>
      <rPr>
        <b/>
        <sz val="12"/>
        <rFont val="Arial"/>
        <family val="2"/>
      </rPr>
      <t>kJ.mol</t>
    </r>
    <r>
      <rPr>
        <b/>
        <vertAlign val="superscript"/>
        <sz val="12"/>
        <rFont val="Arial"/>
        <family val="2"/>
      </rPr>
      <t>-1</t>
    </r>
    <r>
      <rPr>
        <sz val="12"/>
        <rFont val="Arial"/>
        <family val="2"/>
      </rPr>
      <t>)</t>
    </r>
  </si>
  <si>
    <t xml:space="preserve">C(1)O(2) </t>
  </si>
  <si>
    <t xml:space="preserve">Mg(1)C(1)O(3) </t>
  </si>
  <si>
    <t xml:space="preserve">Mg(1)O(1) </t>
  </si>
  <si>
    <t>Third law Entropy</t>
  </si>
  <si>
    <t xml:space="preserve"> So (kJ.mol-1)</t>
  </si>
  <si>
    <t>Reduced for % mineral in source material</t>
  </si>
  <si>
    <r>
      <t>Enthalpy (</t>
    </r>
    <r>
      <rPr>
        <b/>
        <sz val="12"/>
        <rFont val="Symbol"/>
        <family val="1"/>
        <charset val="2"/>
      </rPr>
      <t>D</t>
    </r>
    <r>
      <rPr>
        <b/>
        <sz val="12"/>
        <rFont val="Arial"/>
        <family val="2"/>
      </rPr>
      <t>H</t>
    </r>
    <r>
      <rPr>
        <b/>
        <vertAlign val="subscript"/>
        <sz val="12"/>
        <rFont val="Symbol"/>
        <family val="1"/>
        <charset val="2"/>
      </rPr>
      <t>o</t>
    </r>
    <r>
      <rPr>
        <b/>
        <sz val="12"/>
        <rFont val="Symbol"/>
        <family val="1"/>
        <charset val="2"/>
      </rPr>
      <t xml:space="preserve">) </t>
    </r>
    <r>
      <rPr>
        <b/>
        <sz val="12"/>
        <rFont val="Arial"/>
        <family val="2"/>
      </rPr>
      <t>(Mass basis is relative to product)</t>
    </r>
  </si>
  <si>
    <r>
      <t>CO</t>
    </r>
    <r>
      <rPr>
        <b/>
        <vertAlign val="subscript"/>
        <sz val="12"/>
        <rFont val="Arial"/>
        <family val="2"/>
      </rPr>
      <t>2</t>
    </r>
  </si>
  <si>
    <r>
      <t>Enthalpy of Reaction ∆H</t>
    </r>
    <r>
      <rPr>
        <b/>
        <vertAlign val="superscript"/>
        <sz val="12"/>
        <rFont val="Arial"/>
        <family val="2"/>
      </rPr>
      <t>o</t>
    </r>
    <r>
      <rPr>
        <b/>
        <vertAlign val="subscript"/>
        <sz val="12"/>
        <rFont val="Arial"/>
        <family val="2"/>
      </rPr>
      <t>r</t>
    </r>
    <r>
      <rPr>
        <b/>
        <sz val="12"/>
        <rFont val="Arial"/>
        <family val="2"/>
      </rPr>
      <t xml:space="preserve"> (kJ.mol</t>
    </r>
    <r>
      <rPr>
        <b/>
        <vertAlign val="superscript"/>
        <sz val="12"/>
        <rFont val="Arial"/>
        <family val="2"/>
      </rPr>
      <t>-1</t>
    </r>
    <r>
      <rPr>
        <b/>
        <sz val="12"/>
        <rFont val="Arial"/>
        <family val="2"/>
      </rPr>
      <t>)</t>
    </r>
  </si>
  <si>
    <r>
      <t>+ ∆H</t>
    </r>
    <r>
      <rPr>
        <vertAlign val="superscript"/>
        <sz val="12"/>
        <rFont val="Arial"/>
        <family val="2"/>
      </rPr>
      <t>o</t>
    </r>
    <r>
      <rPr>
        <vertAlign val="subscript"/>
        <sz val="12"/>
        <rFont val="Arial"/>
        <family val="2"/>
      </rPr>
      <t>f</t>
    </r>
    <r>
      <rPr>
        <sz val="12"/>
        <rFont val="Arial"/>
        <family val="2"/>
      </rPr>
      <t xml:space="preserve"> CO</t>
    </r>
    <r>
      <rPr>
        <vertAlign val="subscript"/>
        <sz val="12"/>
        <rFont val="Arial"/>
        <family val="2"/>
      </rPr>
      <t>2</t>
    </r>
  </si>
  <si>
    <r>
      <t>Enthalpy of Reaction ∆H</t>
    </r>
    <r>
      <rPr>
        <vertAlign val="superscript"/>
        <sz val="12"/>
        <rFont val="Arial"/>
        <family val="2"/>
      </rPr>
      <t>o</t>
    </r>
    <r>
      <rPr>
        <vertAlign val="subscript"/>
        <sz val="12"/>
        <rFont val="Arial"/>
        <family val="2"/>
      </rPr>
      <t>r</t>
    </r>
    <r>
      <rPr>
        <sz val="12"/>
        <rFont val="Arial"/>
        <family val="2"/>
      </rPr>
      <t xml:space="preserve"> (kJ.mol</t>
    </r>
    <r>
      <rPr>
        <vertAlign val="superscript"/>
        <sz val="12"/>
        <rFont val="Arial"/>
        <family val="2"/>
      </rPr>
      <t>-1</t>
    </r>
    <r>
      <rPr>
        <sz val="12"/>
        <rFont val="Arial"/>
        <family val="2"/>
      </rPr>
      <t>)</t>
    </r>
  </si>
  <si>
    <r>
      <t>Kj.mole</t>
    </r>
    <r>
      <rPr>
        <vertAlign val="superscript"/>
        <sz val="12"/>
        <rFont val="Arial"/>
        <family val="2"/>
      </rPr>
      <t>-1</t>
    </r>
  </si>
  <si>
    <r>
      <t>Kj.kg</t>
    </r>
    <r>
      <rPr>
        <vertAlign val="superscript"/>
        <sz val="12"/>
        <rFont val="Arial"/>
        <family val="2"/>
      </rPr>
      <t>-1</t>
    </r>
  </si>
  <si>
    <r>
      <t>Mj.kg</t>
    </r>
    <r>
      <rPr>
        <vertAlign val="superscript"/>
        <sz val="12"/>
        <rFont val="Arial"/>
        <family val="2"/>
      </rPr>
      <t>-1</t>
    </r>
  </si>
  <si>
    <r>
      <t>Mj.tonne</t>
    </r>
    <r>
      <rPr>
        <vertAlign val="superscript"/>
        <sz val="12"/>
        <rFont val="Arial"/>
        <family val="2"/>
      </rPr>
      <t>-1</t>
    </r>
  </si>
  <si>
    <r>
      <t>Kwh.kg</t>
    </r>
    <r>
      <rPr>
        <vertAlign val="superscript"/>
        <sz val="12"/>
        <rFont val="Arial"/>
        <family val="2"/>
      </rPr>
      <t>-1</t>
    </r>
  </si>
  <si>
    <r>
      <t>Kwh.tonne</t>
    </r>
    <r>
      <rPr>
        <vertAlign val="superscript"/>
        <sz val="12"/>
        <rFont val="Arial"/>
        <family val="2"/>
      </rPr>
      <t>-1</t>
    </r>
  </si>
  <si>
    <r>
      <t>CHEMICAL CO</t>
    </r>
    <r>
      <rPr>
        <b/>
        <vertAlign val="subscript"/>
        <sz val="12"/>
        <rFont val="Arial"/>
        <family val="2"/>
      </rPr>
      <t>2</t>
    </r>
    <r>
      <rPr>
        <b/>
        <sz val="12"/>
        <rFont val="Arial"/>
        <family val="2"/>
      </rPr>
      <t xml:space="preserve"> RELEASED</t>
    </r>
  </si>
  <si>
    <r>
      <t>gm.mole</t>
    </r>
    <r>
      <rPr>
        <vertAlign val="superscript"/>
        <sz val="12"/>
        <rFont val="Arial"/>
        <family val="2"/>
      </rPr>
      <t>-1</t>
    </r>
  </si>
  <si>
    <r>
      <t>tonne.tonne</t>
    </r>
    <r>
      <rPr>
        <vertAlign val="superscript"/>
        <sz val="12"/>
        <rFont val="Arial"/>
        <family val="2"/>
      </rPr>
      <t>-1</t>
    </r>
  </si>
  <si>
    <r>
      <t>Kwh.Mj</t>
    </r>
    <r>
      <rPr>
        <vertAlign val="superscript"/>
        <sz val="12"/>
        <rFont val="Arial"/>
        <family val="2"/>
      </rPr>
      <t>-1</t>
    </r>
  </si>
  <si>
    <t>Relative to MgO (Reduced for % mineral in source material (2))</t>
  </si>
  <si>
    <t>Should not be changed.</t>
  </si>
  <si>
    <r>
      <t xml:space="preserve">Meier, A., Bonaldi, E., Cella, G.M., Lipinski, W., Wuillemin, D., (2005) </t>
    </r>
    <r>
      <rPr>
        <i/>
        <sz val="12"/>
        <rFont val="Arial"/>
        <family val="2"/>
      </rPr>
      <t>Solar chemical reactor technology for industrial production of lime</t>
    </r>
    <r>
      <rPr>
        <sz val="12"/>
        <rFont val="Arial"/>
        <family val="2"/>
      </rPr>
      <t>, Solar Energy</t>
    </r>
  </si>
  <si>
    <t>Energy ( (Kj.kg-1 Portland cement)</t>
  </si>
  <si>
    <r>
      <t>Emissions (KgCO</t>
    </r>
    <r>
      <rPr>
        <b/>
        <vertAlign val="subscript"/>
        <sz val="12"/>
        <rFont val="Arial"/>
        <family val="2"/>
      </rPr>
      <t>2</t>
    </r>
    <r>
      <rPr>
        <b/>
        <sz val="12"/>
        <rFont val="Arial"/>
        <family val="2"/>
      </rPr>
      <t>e/kg Finished Portland cement)</t>
    </r>
  </si>
  <si>
    <t>Periclase</t>
  </si>
  <si>
    <t>Carbon Dioxide</t>
  </si>
  <si>
    <r>
      <t>Temperature of kiln process</t>
    </r>
    <r>
      <rPr>
        <vertAlign val="superscript"/>
        <sz val="12"/>
        <rFont val="Arial"/>
        <family val="2"/>
      </rPr>
      <t xml:space="preserve"> 0</t>
    </r>
    <r>
      <rPr>
        <sz val="12"/>
        <rFont val="Arial"/>
        <family val="2"/>
      </rPr>
      <t>K</t>
    </r>
  </si>
  <si>
    <r>
      <t>Energy (Kj.kg</t>
    </r>
    <r>
      <rPr>
        <b/>
        <vertAlign val="superscript"/>
        <sz val="12"/>
        <rFont val="Arial"/>
        <family val="2"/>
      </rPr>
      <t>-1</t>
    </r>
    <r>
      <rPr>
        <b/>
        <sz val="12"/>
        <rFont val="Arial"/>
        <family val="2"/>
      </rPr>
      <t xml:space="preserve"> production Magnesium Oxide)</t>
    </r>
  </si>
  <si>
    <t>Lime</t>
  </si>
  <si>
    <t>CaCO3 =&gt;</t>
  </si>
  <si>
    <r>
      <t>∆H</t>
    </r>
    <r>
      <rPr>
        <vertAlign val="superscript"/>
        <sz val="12"/>
        <rFont val="Arial"/>
        <family val="2"/>
      </rPr>
      <t>o</t>
    </r>
    <r>
      <rPr>
        <vertAlign val="subscript"/>
        <sz val="12"/>
        <rFont val="Arial"/>
        <family val="2"/>
      </rPr>
      <t>f</t>
    </r>
    <r>
      <rPr>
        <sz val="12"/>
        <rFont val="Arial"/>
        <family val="2"/>
      </rPr>
      <t xml:space="preserve"> CaO</t>
    </r>
  </si>
  <si>
    <r>
      <t>- ∆H</t>
    </r>
    <r>
      <rPr>
        <vertAlign val="superscript"/>
        <sz val="12"/>
        <rFont val="Arial"/>
        <family val="2"/>
      </rPr>
      <t>o</t>
    </r>
    <r>
      <rPr>
        <vertAlign val="subscript"/>
        <sz val="12"/>
        <rFont val="Arial"/>
        <family val="2"/>
      </rPr>
      <t>f</t>
    </r>
    <r>
      <rPr>
        <sz val="12"/>
        <rFont val="Arial"/>
        <family val="2"/>
      </rPr>
      <t xml:space="preserve"> CaCO3</t>
    </r>
  </si>
  <si>
    <t>Calcite</t>
  </si>
  <si>
    <t>Quicklime</t>
  </si>
  <si>
    <t xml:space="preserve">Ca(1)C(1)O(3) </t>
  </si>
  <si>
    <t xml:space="preserve">Ca(1)O(1) </t>
  </si>
  <si>
    <t>CaO +</t>
  </si>
  <si>
    <t xml:space="preserve"> “Raw Material Balances, Energy Profiles and Environmental Unit Factor Estimates for Cement and Structural Concrete Products”. August 1993 Prepared by CANMET &amp; Radian Canada Inc.</t>
  </si>
  <si>
    <t>Athena SMI report - Venta, Glaser &amp; Associates, October 1999. “Cement and Structural Concrete Products: Life Cycle Inventory Update” Combined with original report</t>
  </si>
  <si>
    <t>1 &amp; 2</t>
  </si>
  <si>
    <t>Robie, Richard A., Hemingway, Bruce S., and Fisher, James R. Thermodynamic Properties of Minerals &amp; Related Substances at 298.15K and 1 Bar (105 Pascals) Pressure and at Higher Temperatures. U.S. Geological Survey Bulletin 1452. Washington: United States Government Printing Office, 1978.</t>
  </si>
  <si>
    <t xml:space="preserve">Mahon, Bruce H, University Chemistry, Addison-Wesley Publishing Company Inc. Palo Alto, USA </t>
  </si>
  <si>
    <t xml:space="preserve">Sub-Total </t>
  </si>
  <si>
    <t>% Additional Energy Required</t>
  </si>
  <si>
    <t>CALCINING ENERGY LIME</t>
  </si>
  <si>
    <t>Theoretical energy calcination from above</t>
  </si>
  <si>
    <t>THERMODYNAMIC DATA (Ref )</t>
  </si>
  <si>
    <t>Magnesium oxide (MgO)</t>
  </si>
  <si>
    <t>Magnesium carbonate (MgCO3)</t>
  </si>
  <si>
    <r>
      <t>Magnesium hydroxide (Mg(OH)</t>
    </r>
    <r>
      <rPr>
        <vertAlign val="subscript"/>
        <sz val="12"/>
        <rFont val="Arial"/>
        <family val="2"/>
      </rPr>
      <t>2</t>
    </r>
  </si>
  <si>
    <r>
      <t>CO</t>
    </r>
    <r>
      <rPr>
        <vertAlign val="subscript"/>
        <sz val="12"/>
        <rFont val="Arial"/>
        <family val="2"/>
      </rPr>
      <t>2</t>
    </r>
    <r>
      <rPr>
        <sz val="12"/>
        <rFont val="Arial"/>
        <family val="2"/>
      </rPr>
      <t xml:space="preserve"> emitted</t>
    </r>
  </si>
  <si>
    <r>
      <t>Nesquehonite (MgCO3.</t>
    </r>
    <r>
      <rPr>
        <vertAlign val="subscript"/>
        <sz val="12"/>
        <rFont val="Arial"/>
        <family val="2"/>
      </rPr>
      <t>3</t>
    </r>
    <r>
      <rPr>
        <sz val="12"/>
        <rFont val="Arial"/>
        <family val="2"/>
      </rPr>
      <t>H</t>
    </r>
    <r>
      <rPr>
        <vertAlign val="subscript"/>
        <sz val="12"/>
        <rFont val="Arial"/>
        <family val="2"/>
      </rPr>
      <t>2</t>
    </r>
    <r>
      <rPr>
        <sz val="12"/>
        <rFont val="Arial"/>
        <family val="2"/>
      </rPr>
      <t>O)</t>
    </r>
  </si>
  <si>
    <t>Calcium oxide (CaO)</t>
  </si>
  <si>
    <r>
      <t>Calcium carbonate (CaCO</t>
    </r>
    <r>
      <rPr>
        <vertAlign val="subscript"/>
        <sz val="12"/>
        <rFont val="Arial"/>
        <family val="2"/>
      </rPr>
      <t>3</t>
    </r>
    <r>
      <rPr>
        <sz val="12"/>
        <rFont val="Arial"/>
        <family val="2"/>
      </rPr>
      <t>)</t>
    </r>
  </si>
  <si>
    <r>
      <t>Calcium hydroxide (Ca(OH)</t>
    </r>
    <r>
      <rPr>
        <vertAlign val="subscript"/>
        <sz val="12"/>
        <rFont val="Arial"/>
        <family val="2"/>
      </rPr>
      <t>2</t>
    </r>
  </si>
  <si>
    <r>
      <t>Molar Volume (cm</t>
    </r>
    <r>
      <rPr>
        <b/>
        <vertAlign val="superscript"/>
        <sz val="12"/>
        <rFont val="Arial"/>
        <family val="2"/>
      </rPr>
      <t>3</t>
    </r>
    <r>
      <rPr>
        <b/>
        <sz val="12"/>
        <rFont val="Arial"/>
        <family val="2"/>
      </rPr>
      <t>)</t>
    </r>
  </si>
  <si>
    <t>Molecular / Formula Weights (gm)</t>
  </si>
  <si>
    <t>5-20 Mass% Reactive Magensia
95-80 Mass% Portland Cement</t>
  </si>
  <si>
    <t>Volume increase for Portland cement solidus to solidus</t>
  </si>
  <si>
    <t>Note that overall shrinkage occurs because of loss of water</t>
  </si>
  <si>
    <t>Specific gravity Portland cement</t>
  </si>
  <si>
    <t>Volume (litres) 1 Kg after hydration</t>
  </si>
  <si>
    <t>Volume (litres) 1 Kg before hydration</t>
  </si>
  <si>
    <r>
      <t>Reduced MgO (Kj.kg</t>
    </r>
    <r>
      <rPr>
        <b/>
        <vertAlign val="superscript"/>
        <sz val="12"/>
        <rFont val="Arial"/>
        <family val="2"/>
      </rPr>
      <t>-1</t>
    </r>
    <r>
      <rPr>
        <b/>
        <sz val="12"/>
        <rFont val="Arial"/>
        <family val="2"/>
      </rPr>
      <t>, Ref)</t>
    </r>
  </si>
  <si>
    <r>
      <t>MgO (Kj.kg</t>
    </r>
    <r>
      <rPr>
        <b/>
        <vertAlign val="superscript"/>
        <sz val="12"/>
        <rFont val="Arial"/>
        <family val="2"/>
      </rPr>
      <t>-1</t>
    </r>
    <r>
      <rPr>
        <b/>
        <sz val="12"/>
        <rFont val="Arial"/>
        <family val="2"/>
      </rPr>
      <t>, Ref )</t>
    </r>
  </si>
  <si>
    <r>
      <t>CaO (Kj.kg</t>
    </r>
    <r>
      <rPr>
        <b/>
        <vertAlign val="superscript"/>
        <sz val="12"/>
        <rFont val="Arial"/>
        <family val="2"/>
      </rPr>
      <t>-1</t>
    </r>
    <r>
      <rPr>
        <b/>
        <sz val="12"/>
        <rFont val="Arial"/>
        <family val="2"/>
      </rPr>
      <t>, Ref )</t>
    </r>
  </si>
  <si>
    <r>
      <t>Reduced CaO (Kj.kg</t>
    </r>
    <r>
      <rPr>
        <b/>
        <vertAlign val="superscript"/>
        <sz val="12"/>
        <rFont val="Arial"/>
        <family val="2"/>
      </rPr>
      <t>-1</t>
    </r>
    <r>
      <rPr>
        <b/>
        <sz val="12"/>
        <rFont val="Arial"/>
        <family val="2"/>
      </rPr>
      <t>, Ref)</t>
    </r>
  </si>
  <si>
    <t>Blend</t>
  </si>
  <si>
    <t>Lime (CaO)</t>
  </si>
  <si>
    <t>Extraction, Transport and Kiln Feed Preparation</t>
  </si>
  <si>
    <t>Finish Processing</t>
  </si>
  <si>
    <t>Colour Code Used in this Workbook</t>
  </si>
  <si>
    <t>Sub-Total</t>
  </si>
  <si>
    <t>Energy Combination</t>
  </si>
  <si>
    <t>Energy Source Choices</t>
  </si>
  <si>
    <t>Tec-Cement</t>
  </si>
  <si>
    <t>Eco-Cement</t>
  </si>
  <si>
    <t>100% CaO</t>
  </si>
  <si>
    <t>Lime Mortar</t>
  </si>
  <si>
    <t>Calculations and Results</t>
  </si>
  <si>
    <t>Specific gravity periclase 3.6 from numerous sources including http://www.galleries.com/minerals/oxides/periclas/periclas.htm</t>
  </si>
  <si>
    <t xml:space="preserve">Specific gravity periclase 3.34 from numerous sources including http://ptcl.chem.ox.ac.uk/~hmc/hsci/chemicals/calcium_oxide.html </t>
  </si>
  <si>
    <t>Fuel oil</t>
  </si>
  <si>
    <r>
      <t>CaCO</t>
    </r>
    <r>
      <rPr>
        <b/>
        <vertAlign val="subscript"/>
        <sz val="12"/>
        <rFont val="Arial"/>
        <family val="2"/>
      </rPr>
      <t>3</t>
    </r>
  </si>
  <si>
    <t>CaO</t>
  </si>
  <si>
    <t>Relative to CaO (Reduced for % mineral in source material (2))</t>
  </si>
  <si>
    <r>
      <t>cc</t>
    </r>
    <r>
      <rPr>
        <vertAlign val="superscript"/>
        <sz val="12"/>
        <rFont val="Arial"/>
        <family val="2"/>
      </rPr>
      <t>3</t>
    </r>
    <r>
      <rPr>
        <sz val="12"/>
        <rFont val="Arial"/>
        <family val="2"/>
      </rPr>
      <t>.mole</t>
    </r>
    <r>
      <rPr>
        <vertAlign val="superscript"/>
        <sz val="12"/>
        <rFont val="Arial"/>
        <family val="2"/>
      </rPr>
      <t>-1</t>
    </r>
  </si>
  <si>
    <r>
      <t>g.mol</t>
    </r>
    <r>
      <rPr>
        <vertAlign val="superscript"/>
        <sz val="12"/>
        <rFont val="Arial"/>
        <family val="2"/>
      </rPr>
      <t>-1</t>
    </r>
  </si>
  <si>
    <r>
      <t>cc</t>
    </r>
    <r>
      <rPr>
        <vertAlign val="superscript"/>
        <sz val="12"/>
        <rFont val="Arial"/>
        <family val="2"/>
      </rPr>
      <t>3</t>
    </r>
    <r>
      <rPr>
        <sz val="12"/>
        <rFont val="Arial"/>
        <family val="2"/>
      </rPr>
      <t>.mol</t>
    </r>
    <r>
      <rPr>
        <vertAlign val="superscript"/>
        <sz val="12"/>
        <rFont val="Arial"/>
        <family val="2"/>
      </rPr>
      <t>-1</t>
    </r>
  </si>
  <si>
    <r>
      <t>Kj.mol</t>
    </r>
    <r>
      <rPr>
        <vertAlign val="superscript"/>
        <sz val="12"/>
        <rFont val="Arial"/>
        <family val="2"/>
      </rPr>
      <t>-1</t>
    </r>
  </si>
  <si>
    <t>www.gaiaengineering.com</t>
  </si>
  <si>
    <t>User Mix</t>
  </si>
  <si>
    <t>Nesquehonite</t>
  </si>
  <si>
    <t>Mg(1)C(1)O(3)H2O(3)</t>
  </si>
  <si>
    <t>Water</t>
  </si>
  <si>
    <t>H(2)O(1)</t>
  </si>
  <si>
    <t>-228.57</t>
  </si>
  <si>
    <t>-241.81</t>
  </si>
  <si>
    <t>188.72</t>
  </si>
  <si>
    <r>
      <t>Third law Entropy S</t>
    </r>
    <r>
      <rPr>
        <vertAlign val="superscript"/>
        <sz val="12"/>
        <rFont val="Arial"/>
        <family val="2"/>
      </rPr>
      <t>o</t>
    </r>
    <r>
      <rPr>
        <sz val="12"/>
        <rFont val="Arial"/>
        <family val="2"/>
      </rPr>
      <t xml:space="preserve"> (</t>
    </r>
    <r>
      <rPr>
        <b/>
        <sz val="12"/>
        <rFont val="Arial"/>
        <family val="2"/>
      </rPr>
      <t>kJ.mol</t>
    </r>
    <r>
      <rPr>
        <b/>
        <vertAlign val="superscript"/>
        <sz val="12"/>
        <rFont val="Arial"/>
        <family val="2"/>
      </rPr>
      <t>-1</t>
    </r>
    <r>
      <rPr>
        <sz val="12"/>
        <rFont val="Arial"/>
        <family val="2"/>
      </rPr>
      <t>)</t>
    </r>
  </si>
  <si>
    <t>AKERMANITE</t>
  </si>
  <si>
    <t xml:space="preserve">Ca(2)Mg(1)Si(2)O(7) </t>
  </si>
  <si>
    <t>ANHYDRITE</t>
  </si>
  <si>
    <t xml:space="preserve">Ca(1)S(1)O(4) </t>
  </si>
  <si>
    <t>ARAGONITE</t>
  </si>
  <si>
    <t>ARTINITE</t>
  </si>
  <si>
    <t>BOEHMITE</t>
  </si>
  <si>
    <t xml:space="preserve">Al(1)O(2)H(1) </t>
  </si>
  <si>
    <t>BRUCITE</t>
  </si>
  <si>
    <t xml:space="preserve">Mg(1)O(2)H(2) </t>
  </si>
  <si>
    <t xml:space="preserve">Ca(+2) </t>
  </si>
  <si>
    <t>CALCITE</t>
  </si>
  <si>
    <t>CALCIUM NITRATE</t>
  </si>
  <si>
    <t xml:space="preserve">Ca(1)N(2)O(6) </t>
  </si>
  <si>
    <t>CALCIUM OLIVINE</t>
  </si>
  <si>
    <t xml:space="preserve">Ca(2)Si(1)O(4) </t>
  </si>
  <si>
    <t>CALCIUM OXIDE</t>
  </si>
  <si>
    <t>CARBON DIOXIDE</t>
  </si>
  <si>
    <t>CHRYSOTILE</t>
  </si>
  <si>
    <t xml:space="preserve">Mg(3)Si(2)O(7)H(16) </t>
  </si>
  <si>
    <t>CLINOENSTATITE</t>
  </si>
  <si>
    <t xml:space="preserve">Mg(1)Si(1)O(3) </t>
  </si>
  <si>
    <t>CO3- - Aqueous Ion</t>
  </si>
  <si>
    <t xml:space="preserve">C(2)O(6) </t>
  </si>
  <si>
    <t>DIASPORE</t>
  </si>
  <si>
    <t>DIOPSIDE</t>
  </si>
  <si>
    <t xml:space="preserve">Ca(1)Mg(1)Si(2)O(6) </t>
  </si>
  <si>
    <t>DOLOMITE</t>
  </si>
  <si>
    <t xml:space="preserve">Ca(1)Mg(1)C(2)O(6) </t>
  </si>
  <si>
    <t>EPSOMITE</t>
  </si>
  <si>
    <t xml:space="preserve">Mg(1)S(1)O(4)H(14)O(7) </t>
  </si>
  <si>
    <t>FORSTERITE</t>
  </si>
  <si>
    <t xml:space="preserve">Mg(2)Si(1)O(4) </t>
  </si>
  <si>
    <t>GIBBSITE</t>
  </si>
  <si>
    <t xml:space="preserve">Al(1)O(3)H(3) </t>
  </si>
  <si>
    <t>GYPSUM</t>
  </si>
  <si>
    <t xml:space="preserve">Ca(1)S(1)O(4)H(4)O(2) </t>
  </si>
  <si>
    <t>H+ Aqueous Ion</t>
  </si>
  <si>
    <t xml:space="preserve">H(+) </t>
  </si>
  <si>
    <t>H2CO3 Un-Ionized</t>
  </si>
  <si>
    <t xml:space="preserve">H(2)C(1)O(3) </t>
  </si>
  <si>
    <t xml:space="preserve">HCO3- Aqueous Ion </t>
  </si>
  <si>
    <t xml:space="preserve">H(1)C(1)O(3) </t>
  </si>
  <si>
    <t>HUNTITE</t>
  </si>
  <si>
    <t xml:space="preserve">Ca(1)Mg(3)C(4)O(12) </t>
  </si>
  <si>
    <t>HYDRO-MAGNESITE</t>
  </si>
  <si>
    <t xml:space="preserve">Mg(5)O(5)C(4)O(8)H(10)O(5) </t>
  </si>
  <si>
    <t>LARNITE</t>
  </si>
  <si>
    <t>MAGNESITE</t>
  </si>
  <si>
    <t>MAGNESIUM NITRATE</t>
  </si>
  <si>
    <t xml:space="preserve">Mg(1)N(2)O(6) </t>
  </si>
  <si>
    <t>MERWINITE</t>
  </si>
  <si>
    <t xml:space="preserve">Ca(3)Mg(1)Si(2)O(8) </t>
  </si>
  <si>
    <t xml:space="preserve">Mg(+2) </t>
  </si>
  <si>
    <t>MONO-HYDROCALCITE</t>
  </si>
  <si>
    <t xml:space="preserve">Ca(1)C(1)O(4)H(2) </t>
  </si>
  <si>
    <t>MONTICELLITE</t>
  </si>
  <si>
    <t xml:space="preserve">Ca(1)Mg(1)Si(1)O(4) </t>
  </si>
  <si>
    <t>NESQUEHONITE</t>
  </si>
  <si>
    <t xml:space="preserve">Mg(1)C(3)O(3)H(6)O(3) </t>
  </si>
  <si>
    <t>OH- Aqueous Ion</t>
  </si>
  <si>
    <t xml:space="preserve">O(1)H(1) </t>
  </si>
  <si>
    <t>PERICLASE</t>
  </si>
  <si>
    <t>PORTLANDITE</t>
  </si>
  <si>
    <t xml:space="preserve">Ca(1)O(2)H(2) </t>
  </si>
  <si>
    <t>PSEUDO-WOLLASTONITE</t>
  </si>
  <si>
    <t xml:space="preserve">Ca(1)Si(1)O(3) </t>
  </si>
  <si>
    <t>QUARTZ</t>
  </si>
  <si>
    <t>Si(1)O(2)</t>
  </si>
  <si>
    <t>SPINEL</t>
  </si>
  <si>
    <t xml:space="preserve">Mg(1)Al(2)O(4) </t>
  </si>
  <si>
    <t>TALC</t>
  </si>
  <si>
    <t xml:space="preserve">Mg(3)Si(4)O(12)H(2) </t>
  </si>
  <si>
    <t>TREMOLITE</t>
  </si>
  <si>
    <t xml:space="preserve">Ca(2)Mg(5)Si(8)O(23)H(2) </t>
  </si>
  <si>
    <t>VATERITE</t>
  </si>
  <si>
    <t>WATER</t>
  </si>
  <si>
    <t xml:space="preserve">H(2)O(1) </t>
  </si>
  <si>
    <t>WOLLASTONITE</t>
  </si>
  <si>
    <t>Robie, Richard A., Hemingway, Bruce S., and Fisher, James R. Thermodynamic Properties of Minerals &amp; Related Substances at 298.15K and 1 Bar (105 Pascals) Pressure and at Higher Temperatures. U.S. Geological Survey Bulletin 1452. Washington: United States Government Printing Office, 1978. (See spreadsheet Thermodynamic data)</t>
  </si>
  <si>
    <t>Purity carbonate heated</t>
  </si>
  <si>
    <t xml:space="preserve">Mineral Name </t>
  </si>
  <si>
    <t xml:space="preserve">Mineral Formula </t>
  </si>
  <si>
    <r>
      <t xml:space="preserve">Gibbs Free Energy Formation Inputs </t>
    </r>
    <r>
      <rPr>
        <b/>
        <sz val="12"/>
        <rFont val="Symbol"/>
        <family val="1"/>
        <charset val="2"/>
      </rPr>
      <t></t>
    </r>
    <r>
      <rPr>
        <b/>
        <sz val="12"/>
        <rFont val="Arial"/>
        <family val="2"/>
      </rPr>
      <t>G</t>
    </r>
    <r>
      <rPr>
        <b/>
        <vertAlign val="superscript"/>
        <sz val="12"/>
        <rFont val="Arial"/>
        <family val="2"/>
      </rPr>
      <t>o</t>
    </r>
    <r>
      <rPr>
        <b/>
        <vertAlign val="subscript"/>
        <sz val="12"/>
        <rFont val="Arial"/>
        <family val="2"/>
      </rPr>
      <t>f</t>
    </r>
    <r>
      <rPr>
        <b/>
        <sz val="12"/>
        <rFont val="Arial"/>
        <family val="2"/>
      </rPr>
      <t xml:space="preserve"> (kJ.mol-1)</t>
    </r>
  </si>
  <si>
    <r>
      <t xml:space="preserve">Enthalpy Formation </t>
    </r>
    <r>
      <rPr>
        <b/>
        <sz val="12"/>
        <rFont val="Symbol"/>
        <family val="1"/>
        <charset val="2"/>
      </rPr>
      <t></t>
    </r>
    <r>
      <rPr>
        <b/>
        <sz val="12"/>
        <rFont val="Arial"/>
        <family val="2"/>
      </rPr>
      <t>H</t>
    </r>
    <r>
      <rPr>
        <b/>
        <vertAlign val="superscript"/>
        <sz val="12"/>
        <rFont val="Arial"/>
        <family val="2"/>
      </rPr>
      <t>o</t>
    </r>
    <r>
      <rPr>
        <b/>
        <vertAlign val="subscript"/>
        <sz val="12"/>
        <rFont val="Arial"/>
        <family val="2"/>
      </rPr>
      <t>f</t>
    </r>
    <r>
      <rPr>
        <b/>
        <sz val="12"/>
        <rFont val="Arial"/>
        <family val="2"/>
      </rPr>
      <t xml:space="preserve"> (kJ.mol-1)</t>
    </r>
  </si>
  <si>
    <r>
      <t xml:space="preserve">Enthalpy Vaporization </t>
    </r>
    <r>
      <rPr>
        <b/>
        <sz val="12"/>
        <rFont val="Symbol"/>
        <family val="1"/>
        <charset val="2"/>
      </rPr>
      <t></t>
    </r>
    <r>
      <rPr>
        <b/>
        <sz val="12"/>
        <rFont val="Arial"/>
        <family val="2"/>
      </rPr>
      <t>V</t>
    </r>
    <r>
      <rPr>
        <b/>
        <vertAlign val="superscript"/>
        <sz val="12"/>
        <rFont val="Arial"/>
        <family val="2"/>
      </rPr>
      <t>o</t>
    </r>
    <r>
      <rPr>
        <b/>
        <vertAlign val="subscript"/>
        <sz val="12"/>
        <rFont val="Arial"/>
        <family val="2"/>
      </rPr>
      <t>f</t>
    </r>
    <r>
      <rPr>
        <b/>
        <sz val="12"/>
        <rFont val="Arial"/>
        <family val="2"/>
      </rPr>
      <t xml:space="preserve"> (kJ.mol-1)</t>
    </r>
  </si>
  <si>
    <t xml:space="preserve"> Molar Volume V (J/bar) </t>
  </si>
  <si>
    <t xml:space="preserve">Mg(2)O(2)H(2)C(1)O(3)H(6)O(1) </t>
  </si>
  <si>
    <t>Ca++ Aqueous Ion</t>
  </si>
  <si>
    <t>Mg++ Aqueous Ion</t>
  </si>
  <si>
    <t>Evaporation of adsorbed water</t>
  </si>
  <si>
    <t>Enter Centigrade for Conversion</t>
  </si>
  <si>
    <r>
      <rPr>
        <b/>
        <vertAlign val="superscript"/>
        <sz val="12"/>
        <rFont val="Arial"/>
        <family val="2"/>
      </rPr>
      <t>o</t>
    </r>
    <r>
      <rPr>
        <b/>
        <sz val="12"/>
        <rFont val="Arial"/>
        <family val="2"/>
      </rPr>
      <t>C</t>
    </r>
  </si>
  <si>
    <r>
      <t>o</t>
    </r>
    <r>
      <rPr>
        <b/>
        <sz val="12"/>
        <rFont val="Arial"/>
        <family val="2"/>
      </rPr>
      <t>C</t>
    </r>
  </si>
  <si>
    <r>
      <t>Temperature of kiln process</t>
    </r>
    <r>
      <rPr>
        <vertAlign val="superscript"/>
        <sz val="12"/>
        <rFont val="Arial"/>
        <family val="2"/>
      </rPr>
      <t xml:space="preserve"> 0</t>
    </r>
    <r>
      <rPr>
        <sz val="12"/>
        <rFont val="Arial"/>
        <family val="2"/>
      </rPr>
      <t>K</t>
    </r>
  </si>
  <si>
    <r>
      <t>o</t>
    </r>
    <r>
      <rPr>
        <b/>
        <sz val="12"/>
        <rFont val="Arial"/>
        <family val="2"/>
      </rPr>
      <t>K</t>
    </r>
  </si>
  <si>
    <t>`</t>
  </si>
  <si>
    <t>% Produced that can carbonates and does</t>
  </si>
  <si>
    <t>kg CO2-e/litre product</t>
  </si>
  <si>
    <t>kJ/litre product</t>
  </si>
  <si>
    <t>kJ/kg product</t>
  </si>
  <si>
    <t>kg CO2-e/kg product</t>
  </si>
  <si>
    <t xml:space="preserve"> =</t>
  </si>
  <si>
    <t>∆H(initial)</t>
  </si>
  <si>
    <r>
      <t>∆H</t>
    </r>
    <r>
      <rPr>
        <vertAlign val="superscript"/>
        <sz val="12"/>
        <rFont val="Arial"/>
        <family val="2"/>
      </rPr>
      <t>o</t>
    </r>
    <r>
      <rPr>
        <vertAlign val="subscript"/>
        <sz val="12"/>
        <rFont val="Arial"/>
        <family val="2"/>
      </rPr>
      <t>r</t>
    </r>
  </si>
  <si>
    <r>
      <t>Decomposition lime (T(PCO2=1atm) 540</t>
    </r>
    <r>
      <rPr>
        <b/>
        <vertAlign val="superscript"/>
        <sz val="12"/>
        <rFont val="Arial"/>
        <family val="2"/>
      </rPr>
      <t>o</t>
    </r>
    <r>
      <rPr>
        <b/>
        <sz val="12"/>
        <rFont val="Arial"/>
        <family val="2"/>
      </rPr>
      <t>C</t>
    </r>
  </si>
  <si>
    <r>
      <t>MgCO</t>
    </r>
    <r>
      <rPr>
        <b/>
        <vertAlign val="subscript"/>
        <sz val="12"/>
        <rFont val="Arial"/>
        <family val="2"/>
      </rPr>
      <t>3</t>
    </r>
    <r>
      <rPr>
        <b/>
        <sz val="12"/>
        <rFont val="Arial"/>
        <family val="2"/>
      </rPr>
      <t>.3H</t>
    </r>
    <r>
      <rPr>
        <b/>
        <vertAlign val="subscript"/>
        <sz val="12"/>
        <rFont val="Arial"/>
        <family val="2"/>
      </rPr>
      <t>2</t>
    </r>
    <r>
      <rPr>
        <b/>
        <sz val="12"/>
        <rFont val="Arial"/>
        <family val="2"/>
      </rPr>
      <t>O =&gt;</t>
    </r>
  </si>
  <si>
    <t>3H2O</t>
  </si>
  <si>
    <r>
      <t xml:space="preserve"> - ∆H</t>
    </r>
    <r>
      <rPr>
        <vertAlign val="superscript"/>
        <sz val="12"/>
        <rFont val="Arial"/>
        <family val="2"/>
      </rPr>
      <t>o</t>
    </r>
    <r>
      <rPr>
        <vertAlign val="subscript"/>
        <sz val="12"/>
        <rFont val="Arial"/>
        <family val="2"/>
      </rPr>
      <t>f</t>
    </r>
    <r>
      <rPr>
        <sz val="12"/>
        <rFont val="Arial"/>
        <family val="2"/>
      </rPr>
      <t xml:space="preserve"> MgCO</t>
    </r>
    <r>
      <rPr>
        <vertAlign val="subscript"/>
        <sz val="12"/>
        <rFont val="Arial"/>
        <family val="2"/>
      </rPr>
      <t>3</t>
    </r>
    <r>
      <rPr>
        <sz val="12"/>
        <rFont val="Arial"/>
        <family val="2"/>
      </rPr>
      <t>.3H</t>
    </r>
    <r>
      <rPr>
        <vertAlign val="subscript"/>
        <sz val="12"/>
        <rFont val="Arial"/>
        <family val="2"/>
      </rPr>
      <t>2</t>
    </r>
    <r>
      <rPr>
        <sz val="12"/>
        <rFont val="Arial"/>
        <family val="2"/>
      </rPr>
      <t>O</t>
    </r>
  </si>
  <si>
    <r>
      <t xml:space="preserve"> + ∆H</t>
    </r>
    <r>
      <rPr>
        <vertAlign val="superscript"/>
        <sz val="12"/>
        <rFont val="Arial"/>
        <family val="2"/>
      </rPr>
      <t>o</t>
    </r>
    <r>
      <rPr>
        <vertAlign val="subscript"/>
        <sz val="12"/>
        <rFont val="Arial"/>
        <family val="2"/>
      </rPr>
      <t>f</t>
    </r>
    <r>
      <rPr>
        <sz val="12"/>
        <rFont val="Arial"/>
        <family val="2"/>
      </rPr>
      <t xml:space="preserve"> MgO</t>
    </r>
  </si>
  <si>
    <r>
      <t xml:space="preserve"> + 3 X ∆H </t>
    </r>
    <r>
      <rPr>
        <vertAlign val="superscript"/>
        <sz val="12"/>
        <rFont val="Arial"/>
        <family val="2"/>
      </rPr>
      <t>o</t>
    </r>
    <r>
      <rPr>
        <vertAlign val="subscript"/>
        <sz val="12"/>
        <rFont val="Arial"/>
        <family val="2"/>
      </rPr>
      <t>f</t>
    </r>
    <r>
      <rPr>
        <sz val="12"/>
        <rFont val="Arial"/>
        <family val="2"/>
      </rPr>
      <t xml:space="preserve"> H</t>
    </r>
    <r>
      <rPr>
        <vertAlign val="subscript"/>
        <sz val="12"/>
        <rFont val="Arial"/>
        <family val="2"/>
      </rPr>
      <t>2</t>
    </r>
    <r>
      <rPr>
        <sz val="12"/>
        <rFont val="Arial"/>
        <family val="2"/>
      </rPr>
      <t>O</t>
    </r>
  </si>
  <si>
    <r>
      <t>Decomposition nesquehonite (T(PCO2=1atm) 420</t>
    </r>
    <r>
      <rPr>
        <b/>
        <vertAlign val="superscript"/>
        <sz val="12"/>
        <rFont val="Arial"/>
        <family val="2"/>
      </rPr>
      <t>o</t>
    </r>
    <r>
      <rPr>
        <b/>
        <sz val="12"/>
        <rFont val="Arial"/>
        <family val="2"/>
      </rPr>
      <t>C</t>
    </r>
  </si>
  <si>
    <t>∆H(final)   -</t>
  </si>
  <si>
    <t>GBFS</t>
  </si>
  <si>
    <t>Flyash</t>
  </si>
  <si>
    <t>100% GBFS</t>
  </si>
  <si>
    <t>100% Flyash</t>
  </si>
  <si>
    <t>Density</t>
  </si>
  <si>
    <t>5-20 Mass% Reactive Magensia
95-80 Mass% Portland Cement, GBFS or pozzolan</t>
  </si>
  <si>
    <t>5-20 Mass% Reactive Magensia
95-80 Mass% Portland Cement, GBFS or Pozzolan</t>
  </si>
  <si>
    <r>
      <t>Magnesia (From MgCO</t>
    </r>
    <r>
      <rPr>
        <b/>
        <vertAlign val="subscript"/>
        <sz val="14"/>
        <rFont val="Arial"/>
        <family val="2"/>
      </rPr>
      <t>3</t>
    </r>
    <r>
      <rPr>
        <b/>
        <sz val="14"/>
        <rFont val="Arial"/>
        <family val="2"/>
      </rPr>
      <t>)</t>
    </r>
  </si>
  <si>
    <t>Magnesia (From Nesquehonite)</t>
  </si>
  <si>
    <t>Relative to</t>
  </si>
  <si>
    <t>kg CO2-e/kg</t>
  </si>
  <si>
    <t>kg CO2-e/litre</t>
  </si>
  <si>
    <r>
      <t>Ratio kg CO</t>
    </r>
    <r>
      <rPr>
        <b/>
        <vertAlign val="subscript"/>
        <sz val="12"/>
        <rFont val="Arial"/>
        <family val="2"/>
      </rPr>
      <t>2</t>
    </r>
    <r>
      <rPr>
        <b/>
        <sz val="12"/>
        <rFont val="Arial"/>
        <family val="2"/>
      </rPr>
      <t>/kg</t>
    </r>
  </si>
  <si>
    <r>
      <t>Ratio kg CO</t>
    </r>
    <r>
      <rPr>
        <b/>
        <vertAlign val="subscript"/>
        <sz val="12"/>
        <rFont val="Arial"/>
        <family val="2"/>
      </rPr>
      <t>2</t>
    </r>
    <r>
      <rPr>
        <b/>
        <sz val="12"/>
        <rFont val="Arial"/>
        <family val="2"/>
      </rPr>
      <t>/litre</t>
    </r>
  </si>
  <si>
    <t>Volume of 1 kg (litres)</t>
  </si>
  <si>
    <t>Emissions - rel to Nesquehonite</t>
  </si>
  <si>
    <t>Emissions - rel to Magnesite</t>
  </si>
  <si>
    <t>Theoretical energy calcination relative to MgCO3</t>
  </si>
  <si>
    <t>Theoretical energy calcination relative to CaCO3</t>
  </si>
  <si>
    <r>
      <t>Kj.litre</t>
    </r>
    <r>
      <rPr>
        <vertAlign val="superscript"/>
        <sz val="12"/>
        <rFont val="Arial"/>
        <family val="2"/>
      </rPr>
      <t>-1</t>
    </r>
  </si>
  <si>
    <r>
      <t>MgCO</t>
    </r>
    <r>
      <rPr>
        <b/>
        <vertAlign val="subscript"/>
        <sz val="12"/>
        <rFont val="Arial"/>
        <family val="2"/>
      </rPr>
      <t>3.</t>
    </r>
    <r>
      <rPr>
        <b/>
        <sz val="12"/>
        <rFont val="Arial"/>
        <family val="2"/>
      </rPr>
      <t>3H</t>
    </r>
    <r>
      <rPr>
        <b/>
        <vertAlign val="subscript"/>
        <sz val="12"/>
        <rFont val="Arial"/>
        <family val="2"/>
      </rPr>
      <t>2</t>
    </r>
    <r>
      <rPr>
        <b/>
        <sz val="12"/>
        <rFont val="Arial"/>
        <family val="2"/>
      </rPr>
      <t>0</t>
    </r>
  </si>
  <si>
    <t>Magnesia (From MgCO3)</t>
  </si>
  <si>
    <t>Nesquehonite Aggregate</t>
  </si>
  <si>
    <t>100% MgCO3.3H2O</t>
  </si>
  <si>
    <t>Chemical CO2</t>
  </si>
  <si>
    <t>Tonnes Global Production Cement</t>
  </si>
  <si>
    <t>Tonnes Aggregate</t>
  </si>
  <si>
    <t>Tonnes Hydration Water</t>
  </si>
  <si>
    <t>Billion tonne</t>
  </si>
  <si>
    <t>CO2</t>
  </si>
  <si>
    <t>Input</t>
  </si>
  <si>
    <t>On-site carbon emissions for aggregates and aggregates products</t>
  </si>
  <si>
    <t>On-site carbon emissions for water</t>
  </si>
  <si>
    <t>http://www.sustainableaggregates.com/sourcesofaggregates/landbased/carbon/carbon_energy_use.htm</t>
  </si>
  <si>
    <t>No data - assume same as aggregate (low)</t>
  </si>
  <si>
    <t>nesq</t>
  </si>
  <si>
    <t>normal</t>
  </si>
  <si>
    <t>Tonne CO2/tonne</t>
  </si>
  <si>
    <t>http://minerals.usgs.gov/minerals/pubs/commodity/cement/mcs-2012-cemen.pdf</t>
  </si>
  <si>
    <t>Note</t>
  </si>
  <si>
    <t>Global Emissions</t>
  </si>
  <si>
    <t>Global Emissions Numbers</t>
  </si>
  <si>
    <t>N/A</t>
  </si>
  <si>
    <t>Other process</t>
  </si>
  <si>
    <r>
      <t>Energy (Kj.kg</t>
    </r>
    <r>
      <rPr>
        <b/>
        <vertAlign val="superscript"/>
        <sz val="12"/>
        <rFont val="Arial"/>
        <family val="2"/>
      </rPr>
      <t>-1</t>
    </r>
    <r>
      <rPr>
        <b/>
        <sz val="12"/>
        <rFont val="Arial"/>
        <family val="2"/>
      </rPr>
      <t xml:space="preserve"> production Calcium Oxide)</t>
    </r>
  </si>
  <si>
    <t>Concrete Type =&gt;</t>
  </si>
  <si>
    <t>Total Sequestration</t>
  </si>
  <si>
    <t>Bituminous coal</t>
  </si>
  <si>
    <t>Electricity</t>
  </si>
  <si>
    <t>TecEco guestimate</t>
  </si>
  <si>
    <t>Rate % (proportion that carbonates in one year)</t>
  </si>
  <si>
    <r>
      <t>kg CO</t>
    </r>
    <r>
      <rPr>
        <vertAlign val="subscript"/>
        <sz val="12"/>
        <rFont val="Arial"/>
        <family val="2"/>
      </rPr>
      <t>2</t>
    </r>
    <r>
      <rPr>
        <sz val="12"/>
        <rFont val="Arial"/>
        <family val="2"/>
      </rPr>
      <t>-e/GJ</t>
    </r>
  </si>
  <si>
    <t>Table 2: Emission factors for the consumption of natural gas, Australian National Greenhouse Accounts, National Greenhouse Accounts Factors, July 2012. Department of Climate Change and Energy Efficiency, Australian Government.</t>
  </si>
  <si>
    <t>Table 40: Scope 2 and 3 emissions factors - consumption of purchased electricity by end users, Australian National Greenhouse Accounts, National Greenhouse Accounts Factors, July 2012. Department of Climate Change and Energy Efficiency, Australian Government.</t>
  </si>
  <si>
    <t>Table 1: Fuel combustion emission factors - solid fuels and certain coal based products, Australian National Greenhouse Accounts, National Greenhouse Accounts Factors, July 2012.  Department of Climate Change and Energy Efficiency, Australian Government.</t>
  </si>
  <si>
    <t>Table 3: Fuel combustion emission factors - liquid fuels and certain petroleum based products for stationary energy purposes, Australian National Greenhouse Accounts, National Greenhouse Accounts Factors, July 2012. Department of Climate Change and Energy Efficiency, Australian Government.</t>
  </si>
  <si>
    <t>Table 4: Fuel combustion emission factors - fuels used for transport energy purposes, Australian National Greenhouse Accounts, National Greenhouse Accounts Factors, July 2012. Department of Climate Change and Energy Efficiency, Australian Government.</t>
  </si>
  <si>
    <t>GJ/t</t>
  </si>
  <si>
    <r>
      <t>GJ/m</t>
    </r>
    <r>
      <rPr>
        <vertAlign val="superscript"/>
        <sz val="12"/>
        <rFont val="Arial"/>
        <family val="2"/>
      </rPr>
      <t>3</t>
    </r>
  </si>
  <si>
    <t>GJ/KL</t>
  </si>
  <si>
    <t>GJ/kl</t>
  </si>
  <si>
    <r>
      <t>39.3 X 10</t>
    </r>
    <r>
      <rPr>
        <vertAlign val="superscript"/>
        <sz val="12"/>
        <rFont val="Arial"/>
        <family val="2"/>
      </rPr>
      <t>-3</t>
    </r>
  </si>
  <si>
    <t>CALCINING ENERGY rMgO</t>
  </si>
  <si>
    <t>Machine and vehicle diesel</t>
  </si>
  <si>
    <t>$ Cost</t>
  </si>
  <si>
    <t>Less CO2 Captured During Precipitation</t>
  </si>
  <si>
    <t>Less CO2 Recaptured</t>
  </si>
  <si>
    <t>Current Price Carbon Dioxide</t>
  </si>
  <si>
    <t>$ / Tonne</t>
  </si>
  <si>
    <t>$ / Kg</t>
  </si>
  <si>
    <t>Sand 1</t>
  </si>
  <si>
    <t>Sand 2</t>
  </si>
  <si>
    <t>Aggregate 2</t>
  </si>
  <si>
    <t>Aggregate 3</t>
  </si>
  <si>
    <t>Sand 3</t>
  </si>
  <si>
    <t>LPG</t>
  </si>
  <si>
    <t>Electricity Generation and Kiln</t>
  </si>
  <si>
    <t>Precipitation Capture</t>
  </si>
  <si>
    <t>Energy / $ Value / Emissions (before Calcination)</t>
  </si>
  <si>
    <t>Calcination</t>
  </si>
  <si>
    <t>Possible / $ Value / CO2 Emissions re-carbonation (porous materials only)</t>
  </si>
  <si>
    <t>Re-Absorption</t>
  </si>
  <si>
    <t xml:space="preserve">Other </t>
  </si>
  <si>
    <t>Total Releases / Energy / $ Value / CO2 (/Kg /Litre product)</t>
  </si>
  <si>
    <t>Summary</t>
  </si>
  <si>
    <t>kJ/litre product before hydration</t>
  </si>
  <si>
    <t>Grinding energy capture efficiency %</t>
  </si>
  <si>
    <t>$ Value / CO2 captured during calcination</t>
  </si>
  <si>
    <t>Net Emissions  Energy / $ Value / CO2 (/Kg /Litre product)</t>
  </si>
  <si>
    <t>Energy / $ Value / Emissions before recapture and re-carbonation (/Kg /Litre product)</t>
  </si>
  <si>
    <t>Energy / $ Value / Emissions after capture, before re-carbonation (/Kg /Litre product)</t>
  </si>
  <si>
    <t>Adjusted / $ Value / re-carbonation 1 year</t>
  </si>
  <si>
    <t>Net Energy / $ / Emissions after re-carbonation (/Kg /Litre product)</t>
  </si>
  <si>
    <t>Re-Carbonation</t>
  </si>
  <si>
    <t>Recovered or Sequestered / Energy / $ Value / CO2 (/Kg /Litre product)</t>
  </si>
  <si>
    <t>N-Mg CO2 Capture efficiency %</t>
  </si>
  <si>
    <r>
      <t>Lookup Data</t>
    </r>
    <r>
      <rPr>
        <b/>
        <sz val="11"/>
        <rFont val="Arial"/>
        <family val="2"/>
      </rPr>
      <t xml:space="preserve"> </t>
    </r>
    <r>
      <rPr>
        <sz val="10"/>
        <rFont val="Arial"/>
        <family val="2"/>
      </rPr>
      <t>(Here because Excel cannot lookup a name for a dropdown other than on the same sheet!!)</t>
    </r>
  </si>
  <si>
    <t>n</t>
  </si>
  <si>
    <t>Raw grinding energy captured</t>
  </si>
  <si>
    <t>Energy if no Synthcarb process</t>
  </si>
  <si>
    <t>Energy of Syncarb Process</t>
  </si>
  <si>
    <t>Energy if no Syncarb process</t>
  </si>
  <si>
    <t>y</t>
  </si>
  <si>
    <t>T</t>
  </si>
  <si>
    <t>ST</t>
  </si>
  <si>
    <t>Include</t>
  </si>
  <si>
    <t>Assumptions</t>
  </si>
  <si>
    <t>Mix Design</t>
  </si>
  <si>
    <t>Processing of SCM's</t>
  </si>
  <si>
    <t>Air classification</t>
  </si>
  <si>
    <t>$/cost, energy recovered or sequestration/ Kg product</t>
  </si>
  <si>
    <t xml:space="preserve">True density of blast furnace slag </t>
  </si>
  <si>
    <t>Above data is currently from manufacture of Portland cement processes which involve similar stages.</t>
  </si>
  <si>
    <t>Kg/litre</t>
  </si>
  <si>
    <t>Euroslag Technical Leaflet No. 1</t>
  </si>
  <si>
    <t>True density of fly ash</t>
  </si>
  <si>
    <t>Various sources</t>
  </si>
  <si>
    <t>Transferred in from another industry (SCM's)</t>
  </si>
  <si>
    <t xml:space="preserve">Kiln process </t>
  </si>
  <si>
    <t>Estimate to transfer in from other industry</t>
  </si>
  <si>
    <t>kJ/Kg product</t>
  </si>
  <si>
    <t>Fly ash</t>
  </si>
  <si>
    <t>From USGS Cement pages at http://minerals.usgs.gov/minerals/pubs/commodity/cement/</t>
  </si>
  <si>
    <t xml:space="preserve"> </t>
  </si>
  <si>
    <t>Average</t>
  </si>
  <si>
    <t>Plant Type</t>
  </si>
  <si>
    <t>Conventional Coal</t>
  </si>
  <si>
    <t>Advanced Coal</t>
  </si>
  <si>
    <t>Advanced Coal with CCS</t>
  </si>
  <si>
    <t>Advanced Nuclear</t>
  </si>
  <si>
    <t>Geothermal</t>
  </si>
  <si>
    <t>Biomass</t>
  </si>
  <si>
    <t>Capacity  Factor (%)</t>
  </si>
  <si>
    <t>Fixed O &amp; M</t>
  </si>
  <si>
    <t>Variable O &amp; M (incl fuel)</t>
  </si>
  <si>
    <t>Transmission Investment</t>
  </si>
  <si>
    <t>Estimated Levelized Cost of New Generation Resources, 2017 [10]  (2010 USD/MWh)</t>
  </si>
  <si>
    <t>Exchange Rate (US $ : Aus$)</t>
  </si>
  <si>
    <t>Kj per MWh</t>
  </si>
  <si>
    <t>Total system Levilised cost (2010 USD/MWh)</t>
  </si>
  <si>
    <t>Levelised  Capital Cost</t>
  </si>
  <si>
    <t>Total system Levilised cost (2010 AUD/MWh)</t>
  </si>
  <si>
    <t>Total system Levilised cost (2010 AUD/Kj)</t>
  </si>
  <si>
    <t>Natural Gas Conventional Combined Cycle</t>
  </si>
  <si>
    <t>Natural Gas Advanced Combined Cycle</t>
  </si>
  <si>
    <t>Natural Gas Advanced CC with CCS</t>
  </si>
  <si>
    <t>Natural Gas Conventional Combustion Turbine</t>
  </si>
  <si>
    <t>Natural Gas Advanced Combustion Turbine</t>
  </si>
  <si>
    <t>Levelized Cost of New Generation Resources in the Annual Energy Outlook 2013. Released January 28, 2013. Report of the US Energy Information Administration (EIA) of the U.S. Department of Energy (DOE).</t>
  </si>
  <si>
    <t>Dispatchable Technologies</t>
  </si>
  <si>
    <t>Non-Dispatchable Technologies</t>
  </si>
  <si>
    <t>Wind-Offshore</t>
  </si>
  <si>
    <r>
      <t>Solar PV</t>
    </r>
    <r>
      <rPr>
        <vertAlign val="superscript"/>
        <sz val="12"/>
        <rFont val="Arial"/>
        <family val="2"/>
      </rPr>
      <t>1</t>
    </r>
  </si>
  <si>
    <t>Solar Thermal</t>
  </si>
  <si>
    <r>
      <t>Hydro</t>
    </r>
    <r>
      <rPr>
        <vertAlign val="superscript"/>
        <sz val="12"/>
        <rFont val="Arial"/>
        <family val="2"/>
      </rPr>
      <t>2</t>
    </r>
  </si>
  <si>
    <t>http://www.eia.gov/forecasts/aeo/er/electricity_generation.cfm</t>
  </si>
  <si>
    <t>$ litre</t>
  </si>
  <si>
    <t>Diesel</t>
  </si>
  <si>
    <t>kJ</t>
  </si>
  <si>
    <t>mJ/L</t>
  </si>
  <si>
    <t xml:space="preserve"> $ AUD/Kj</t>
  </si>
  <si>
    <t>Calculated</t>
  </si>
  <si>
    <t>Solar PV</t>
  </si>
  <si>
    <t>$/kJ</t>
  </si>
  <si>
    <r>
      <t>kg CO</t>
    </r>
    <r>
      <rPr>
        <vertAlign val="subscript"/>
        <sz val="12"/>
        <rFont val="Arial"/>
        <family val="2"/>
      </rPr>
      <t>2</t>
    </r>
    <r>
      <rPr>
        <sz val="12"/>
        <rFont val="Arial"/>
        <family val="2"/>
      </rPr>
      <t>-e/kJ</t>
    </r>
  </si>
  <si>
    <t>Life Cycle Cost Analysis</t>
  </si>
  <si>
    <t>www.tececo.com</t>
  </si>
  <si>
    <t>More Information:</t>
  </si>
  <si>
    <t>Kiln CO2 capture efficiency %</t>
  </si>
  <si>
    <t>SynCarb Nesquehonite</t>
  </si>
  <si>
    <t>Cements (%)</t>
  </si>
  <si>
    <t>Aggregates (%)</t>
  </si>
  <si>
    <t>Total = % of mix</t>
  </si>
  <si>
    <t>Grand Total (100)</t>
  </si>
  <si>
    <t>SynCarb Aggregate</t>
  </si>
  <si>
    <t>Key Ratios</t>
  </si>
  <si>
    <t>MgO+PC:Total Cementitious</t>
  </si>
  <si>
    <t>GBFS:Total Cementitious</t>
  </si>
  <si>
    <t>Fly Ash: Total Cementitious</t>
  </si>
  <si>
    <t>Total Cementitious:Sands</t>
  </si>
  <si>
    <t>Sands:Coarse Agreggates</t>
  </si>
  <si>
    <t>Cement:Sands:Aggregates (As Propertion Mix)</t>
  </si>
  <si>
    <t xml:space="preserve">MgO:PC   </t>
  </si>
  <si>
    <t>Cementitious: Sand and Aggregates</t>
  </si>
  <si>
    <t>MgO:Total Cementitious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</si>
</sst>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
    <numFmt numFmtId="165" formatCode="0.0000"/>
    <numFmt numFmtId="166" formatCode="0.0%"/>
    <numFmt numFmtId="167" formatCode="0.00000"/>
    <numFmt numFmtId="168" formatCode="#,##0.000"/>
    <numFmt numFmtId="169" formatCode="0.000000"/>
  </numFmts>
  <fonts count="43" x14ac:knownFonts="1">
    <font>
      <sz val="12"/>
      <name val="Arial"/>
    </font>
    <font>
      <sz val="10"/>
      <name val="Arial"/>
      <family val="2"/>
    </font>
    <font>
      <sz val="8"/>
      <name val="Arial"/>
      <family val="2"/>
    </font>
    <font>
      <b/>
      <sz val="10"/>
      <name val="Arial"/>
      <family val="2"/>
    </font>
    <font>
      <b/>
      <sz val="26"/>
      <name val="Garamond"/>
      <family val="1"/>
    </font>
    <font>
      <sz val="10"/>
      <name val="Arial"/>
      <family val="2"/>
    </font>
    <font>
      <b/>
      <sz val="14"/>
      <name val="Arial"/>
      <family val="2"/>
    </font>
    <font>
      <u/>
      <sz val="10"/>
      <color indexed="12"/>
      <name val="Arial"/>
      <family val="2"/>
    </font>
    <font>
      <b/>
      <sz val="12"/>
      <name val="Arial"/>
      <family val="2"/>
    </font>
    <font>
      <b/>
      <i/>
      <sz val="16"/>
      <name val="Arial"/>
      <family val="2"/>
    </font>
    <font>
      <sz val="12"/>
      <name val="Arial"/>
      <family val="2"/>
    </font>
    <font>
      <b/>
      <sz val="12"/>
      <name val="Arial"/>
      <family val="2"/>
    </font>
    <font>
      <b/>
      <sz val="14"/>
      <name val="Arial"/>
      <family val="2"/>
    </font>
    <font>
      <b/>
      <sz val="26"/>
      <name val="Arial"/>
      <family val="2"/>
    </font>
    <font>
      <i/>
      <sz val="12"/>
      <name val="Arial"/>
      <family val="2"/>
    </font>
    <font>
      <sz val="12"/>
      <color indexed="8"/>
      <name val="Arial"/>
      <family val="2"/>
    </font>
    <font>
      <sz val="12"/>
      <color indexed="12"/>
      <name val="Arial"/>
      <family val="2"/>
    </font>
    <font>
      <sz val="12"/>
      <name val="Arial"/>
      <family val="2"/>
    </font>
    <font>
      <vertAlign val="superscript"/>
      <sz val="12"/>
      <name val="Arial"/>
      <family val="2"/>
    </font>
    <font>
      <sz val="12"/>
      <name val="Arial"/>
      <family val="2"/>
    </font>
    <font>
      <sz val="18"/>
      <name val="Microsoft Sans Serif"/>
      <family val="2"/>
    </font>
    <font>
      <sz val="9"/>
      <name val="Arial"/>
      <family val="2"/>
    </font>
    <font>
      <b/>
      <sz val="20"/>
      <name val="Arial"/>
      <family val="2"/>
    </font>
    <font>
      <sz val="12"/>
      <color indexed="10"/>
      <name val="Arial"/>
      <family val="2"/>
    </font>
    <font>
      <b/>
      <vertAlign val="superscript"/>
      <sz val="12"/>
      <name val="Arial"/>
      <family val="2"/>
    </font>
    <font>
      <b/>
      <sz val="12"/>
      <name val="Symbol"/>
      <family val="1"/>
      <charset val="2"/>
    </font>
    <font>
      <b/>
      <vertAlign val="subscript"/>
      <sz val="12"/>
      <name val="Arial"/>
      <family val="2"/>
    </font>
    <font>
      <b/>
      <vertAlign val="subscript"/>
      <sz val="12"/>
      <name val="Symbol"/>
      <family val="1"/>
      <charset val="2"/>
    </font>
    <font>
      <vertAlign val="subscript"/>
      <sz val="12"/>
      <name val="Arial"/>
      <family val="2"/>
    </font>
    <font>
      <sz val="12"/>
      <name val="Times New Roman"/>
      <family val="1"/>
    </font>
    <font>
      <sz val="12"/>
      <name val="Arial"/>
      <family val="2"/>
    </font>
    <font>
      <sz val="14"/>
      <name val="Arial"/>
      <family val="2"/>
    </font>
    <font>
      <sz val="14"/>
      <name val="Arial"/>
      <family val="2"/>
    </font>
    <font>
      <b/>
      <sz val="14"/>
      <color indexed="41"/>
      <name val="Arial"/>
      <family val="2"/>
    </font>
    <font>
      <sz val="12"/>
      <color indexed="22"/>
      <name val="Arial"/>
      <family val="2"/>
    </font>
    <font>
      <b/>
      <i/>
      <sz val="20"/>
      <name val="Arial"/>
      <family val="2"/>
    </font>
    <font>
      <b/>
      <u/>
      <sz val="12"/>
      <color indexed="12"/>
      <name val="Arial"/>
      <family val="2"/>
    </font>
    <font>
      <u/>
      <sz val="10"/>
      <color indexed="12"/>
      <name val="Arial"/>
      <family val="2"/>
    </font>
    <font>
      <b/>
      <sz val="11"/>
      <name val="Arial"/>
      <family val="2"/>
    </font>
    <font>
      <sz val="12"/>
      <color rgb="FF000000"/>
      <name val="Arial"/>
      <family val="2"/>
    </font>
    <font>
      <b/>
      <vertAlign val="subscript"/>
      <sz val="14"/>
      <name val="Arial"/>
      <family val="2"/>
    </font>
    <font>
      <sz val="12"/>
      <color rgb="FF7030A0"/>
      <name val="Arial"/>
      <family val="2"/>
    </font>
    <font>
      <b/>
      <i/>
      <sz val="14"/>
      <name val="Arial"/>
      <family val="2"/>
    </font>
  </fonts>
  <fills count="2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99"/>
        <bgColor indexed="64"/>
      </patternFill>
    </fill>
    <fill>
      <patternFill patternType="solid">
        <fgColor rgb="FFFFCC99"/>
        <bgColor indexed="64"/>
      </patternFill>
    </fill>
    <fill>
      <patternFill patternType="solid">
        <fgColor rgb="FFFF99CC"/>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bgColor indexed="64"/>
      </patternFill>
    </fill>
  </fills>
  <borders count="75">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xf numFmtId="0" fontId="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7" fillId="0" borderId="0"/>
    <xf numFmtId="0" fontId="5" fillId="0" borderId="0"/>
    <xf numFmtId="0" fontId="1" fillId="0" borderId="0"/>
    <xf numFmtId="9" fontId="1" fillId="0" borderId="0" applyFont="0" applyFill="0" applyBorder="0" applyAlignment="0" applyProtection="0"/>
    <xf numFmtId="9" fontId="5" fillId="0" borderId="0" applyFont="0" applyFill="0" applyBorder="0" applyAlignment="0" applyProtection="0"/>
    <xf numFmtId="0" fontId="10" fillId="0" borderId="0"/>
    <xf numFmtId="0" fontId="7" fillId="0" borderId="0" applyNumberFormat="0" applyFill="0" applyBorder="0" applyAlignment="0" applyProtection="0">
      <alignment vertical="top"/>
      <protection locked="0"/>
    </xf>
    <xf numFmtId="0" fontId="10" fillId="0" borderId="0"/>
    <xf numFmtId="0" fontId="1" fillId="0" borderId="0"/>
    <xf numFmtId="9" fontId="1" fillId="0" borderId="0" applyFont="0" applyFill="0" applyBorder="0" applyAlignment="0" applyProtection="0"/>
  </cellStyleXfs>
  <cellXfs count="889">
    <xf numFmtId="0" fontId="0" fillId="0" borderId="0" xfId="0"/>
    <xf numFmtId="0" fontId="0" fillId="2" borderId="0" xfId="0" applyFill="1"/>
    <xf numFmtId="0" fontId="3" fillId="2" borderId="0" xfId="0" applyFont="1" applyFill="1"/>
    <xf numFmtId="0" fontId="8" fillId="2" borderId="0" xfId="0" applyFont="1" applyFill="1"/>
    <xf numFmtId="0" fontId="0" fillId="2" borderId="0" xfId="0" applyFill="1" applyBorder="1" applyAlignment="1"/>
    <xf numFmtId="0" fontId="10" fillId="2" borderId="0" xfId="0" applyFont="1" applyFill="1"/>
    <xf numFmtId="0" fontId="11" fillId="2" borderId="0" xfId="0" applyFont="1" applyFill="1"/>
    <xf numFmtId="0" fontId="0" fillId="2" borderId="0" xfId="0" applyFill="1" applyBorder="1" applyAlignment="1">
      <alignment horizontal="center"/>
    </xf>
    <xf numFmtId="0" fontId="0" fillId="2" borderId="1" xfId="0" applyFill="1" applyBorder="1"/>
    <xf numFmtId="0" fontId="0" fillId="2" borderId="2" xfId="0" applyFill="1" applyBorder="1"/>
    <xf numFmtId="0" fontId="0" fillId="2" borderId="3" xfId="0" applyFill="1" applyBorder="1"/>
    <xf numFmtId="0" fontId="0" fillId="2" borderId="0" xfId="0" applyFill="1" applyBorder="1"/>
    <xf numFmtId="0" fontId="3" fillId="2" borderId="4" xfId="0" applyFont="1" applyFill="1" applyBorder="1"/>
    <xf numFmtId="0" fontId="0" fillId="3" borderId="5" xfId="0" applyFill="1" applyBorder="1"/>
    <xf numFmtId="0" fontId="0" fillId="4" borderId="5" xfId="0" applyFill="1" applyBorder="1"/>
    <xf numFmtId="0" fontId="0" fillId="5" borderId="5" xfId="0" applyFill="1" applyBorder="1"/>
    <xf numFmtId="0" fontId="0" fillId="6" borderId="5" xfId="0" applyFill="1" applyBorder="1"/>
    <xf numFmtId="0" fontId="0" fillId="7" borderId="6" xfId="0" applyFill="1" applyBorder="1"/>
    <xf numFmtId="0" fontId="4" fillId="2" borderId="0" xfId="0" applyFont="1" applyFill="1" applyAlignment="1">
      <alignment horizontal="left"/>
    </xf>
    <xf numFmtId="0" fontId="3" fillId="2" borderId="7" xfId="0" applyFont="1" applyFill="1" applyBorder="1"/>
    <xf numFmtId="0" fontId="0" fillId="2" borderId="8" xfId="0" applyFill="1" applyBorder="1"/>
    <xf numFmtId="0" fontId="0" fillId="2" borderId="9" xfId="0" applyFill="1" applyBorder="1"/>
    <xf numFmtId="0" fontId="13" fillId="2" borderId="0" xfId="0" applyFont="1" applyFill="1" applyAlignment="1">
      <alignment horizontal="left"/>
    </xf>
    <xf numFmtId="0" fontId="9" fillId="2" borderId="0" xfId="0" applyFont="1" applyFill="1" applyBorder="1"/>
    <xf numFmtId="0" fontId="19" fillId="2" borderId="0" xfId="0" applyFont="1" applyFill="1"/>
    <xf numFmtId="0" fontId="8" fillId="3" borderId="0" xfId="0" applyFont="1" applyFill="1" applyAlignment="1">
      <alignment wrapText="1"/>
    </xf>
    <xf numFmtId="0" fontId="19" fillId="2" borderId="0" xfId="0" applyFont="1" applyFill="1" applyAlignment="1">
      <alignment wrapText="1"/>
    </xf>
    <xf numFmtId="2" fontId="0" fillId="2" borderId="0" xfId="0" applyNumberFormat="1" applyFill="1"/>
    <xf numFmtId="0" fontId="19" fillId="3" borderId="0" xfId="0" applyFont="1" applyFill="1" applyAlignment="1">
      <alignment wrapText="1"/>
    </xf>
    <xf numFmtId="0" fontId="8" fillId="3" borderId="0" xfId="0" applyFont="1" applyFill="1" applyAlignment="1"/>
    <xf numFmtId="0" fontId="0" fillId="2" borderId="10" xfId="0" applyFill="1" applyBorder="1"/>
    <xf numFmtId="0" fontId="20" fillId="2" borderId="2" xfId="0" applyFont="1" applyFill="1" applyBorder="1"/>
    <xf numFmtId="0" fontId="1" fillId="2" borderId="0" xfId="0" applyFont="1" applyFill="1" applyAlignment="1">
      <alignment horizontal="left"/>
    </xf>
    <xf numFmtId="0" fontId="3" fillId="2" borderId="0" xfId="0" applyFont="1" applyFill="1" applyBorder="1"/>
    <xf numFmtId="0" fontId="20" fillId="2" borderId="0" xfId="0" applyFont="1" applyFill="1"/>
    <xf numFmtId="0" fontId="21" fillId="2" borderId="0" xfId="0" applyFont="1" applyFill="1"/>
    <xf numFmtId="0" fontId="22" fillId="2" borderId="0" xfId="0" applyFont="1" applyFill="1"/>
    <xf numFmtId="0" fontId="17" fillId="2" borderId="8" xfId="0" applyFont="1" applyFill="1" applyBorder="1"/>
    <xf numFmtId="0" fontId="0" fillId="2" borderId="0" xfId="0" applyFill="1" applyAlignment="1"/>
    <xf numFmtId="0" fontId="8" fillId="3" borderId="0" xfId="0" applyFont="1" applyFill="1"/>
    <xf numFmtId="0" fontId="10" fillId="6" borderId="0" xfId="0" applyFont="1" applyFill="1" applyAlignment="1"/>
    <xf numFmtId="0" fontId="19" fillId="4" borderId="0" xfId="0" applyFont="1" applyFill="1"/>
    <xf numFmtId="1" fontId="10" fillId="6" borderId="0" xfId="0" applyNumberFormat="1" applyFont="1" applyFill="1" applyAlignment="1"/>
    <xf numFmtId="0" fontId="19" fillId="6" borderId="0" xfId="0" applyFont="1" applyFill="1"/>
    <xf numFmtId="0" fontId="19" fillId="6" borderId="0" xfId="0" applyFont="1" applyFill="1" applyBorder="1" applyAlignment="1"/>
    <xf numFmtId="1" fontId="19" fillId="5" borderId="0" xfId="0" applyNumberFormat="1" applyFont="1" applyFill="1"/>
    <xf numFmtId="0" fontId="19" fillId="6" borderId="0" xfId="0" applyFont="1" applyFill="1" applyAlignment="1"/>
    <xf numFmtId="0" fontId="15" fillId="2" borderId="0" xfId="0" applyFont="1" applyFill="1"/>
    <xf numFmtId="0" fontId="11" fillId="3" borderId="0" xfId="0" applyFont="1" applyFill="1"/>
    <xf numFmtId="0" fontId="11" fillId="3" borderId="0" xfId="0" applyFont="1" applyFill="1" applyAlignment="1">
      <alignment wrapText="1"/>
    </xf>
    <xf numFmtId="0" fontId="11" fillId="6" borderId="0" xfId="0" applyFont="1" applyFill="1" applyAlignment="1">
      <alignment wrapText="1"/>
    </xf>
    <xf numFmtId="1" fontId="19" fillId="6" borderId="0" xfId="0" applyNumberFormat="1" applyFont="1" applyFill="1"/>
    <xf numFmtId="0" fontId="19" fillId="5" borderId="0" xfId="0" applyFont="1" applyFill="1"/>
    <xf numFmtId="0" fontId="19" fillId="3" borderId="0" xfId="0" applyFont="1" applyFill="1"/>
    <xf numFmtId="0" fontId="11" fillId="3" borderId="0" xfId="0" applyFont="1" applyFill="1" applyAlignment="1"/>
    <xf numFmtId="0" fontId="17" fillId="3" borderId="0" xfId="0" applyFont="1" applyFill="1"/>
    <xf numFmtId="0" fontId="17" fillId="3" borderId="0" xfId="0" applyFont="1" applyFill="1" applyBorder="1"/>
    <xf numFmtId="0" fontId="17" fillId="3" borderId="0" xfId="0" applyFont="1" applyFill="1" applyAlignment="1"/>
    <xf numFmtId="0" fontId="8" fillId="6" borderId="0" xfId="0" applyFont="1" applyFill="1" applyAlignment="1">
      <alignment wrapText="1"/>
    </xf>
    <xf numFmtId="0" fontId="8" fillId="6" borderId="0" xfId="0" applyFont="1" applyFill="1"/>
    <xf numFmtId="0" fontId="10" fillId="2" borderId="0" xfId="0" applyFont="1" applyFill="1" applyBorder="1"/>
    <xf numFmtId="0" fontId="11" fillId="2" borderId="0" xfId="0" applyFont="1" applyFill="1" applyBorder="1"/>
    <xf numFmtId="2" fontId="0" fillId="2" borderId="0" xfId="0" applyNumberFormat="1" applyFill="1" applyBorder="1"/>
    <xf numFmtId="0" fontId="17" fillId="2" borderId="0" xfId="0" applyFont="1" applyFill="1"/>
    <xf numFmtId="0" fontId="10" fillId="2" borderId="0" xfId="5" applyFont="1" applyFill="1" applyBorder="1" applyAlignment="1">
      <alignment wrapText="1"/>
    </xf>
    <xf numFmtId="0" fontId="10" fillId="6" borderId="0" xfId="5" applyFont="1" applyFill="1" applyBorder="1" applyAlignment="1">
      <alignment wrapText="1"/>
    </xf>
    <xf numFmtId="0" fontId="17" fillId="6" borderId="0" xfId="0" applyFont="1" applyFill="1" applyAlignment="1">
      <alignment horizontal="right"/>
    </xf>
    <xf numFmtId="49" fontId="10" fillId="6" borderId="0" xfId="5" applyNumberFormat="1" applyFont="1" applyFill="1" applyBorder="1" applyAlignment="1">
      <alignment wrapText="1"/>
    </xf>
    <xf numFmtId="49" fontId="17" fillId="6" borderId="0" xfId="0" applyNumberFormat="1" applyFont="1" applyFill="1" applyAlignment="1">
      <alignment horizontal="right"/>
    </xf>
    <xf numFmtId="0" fontId="17" fillId="6" borderId="0" xfId="0" applyNumberFormat="1" applyFont="1" applyFill="1" applyAlignment="1">
      <alignment horizontal="right"/>
    </xf>
    <xf numFmtId="0" fontId="17" fillId="6" borderId="0" xfId="0" applyNumberFormat="1" applyFont="1" applyFill="1" applyAlignment="1"/>
    <xf numFmtId="0" fontId="17" fillId="6" borderId="0" xfId="0" applyFont="1" applyFill="1" applyBorder="1" applyAlignment="1">
      <alignment horizontal="right"/>
    </xf>
    <xf numFmtId="0" fontId="29" fillId="6" borderId="0" xfId="0" applyFont="1" applyFill="1" applyBorder="1" applyAlignment="1">
      <alignment wrapText="1"/>
    </xf>
    <xf numFmtId="0" fontId="29" fillId="6" borderId="0" xfId="0" applyFont="1" applyFill="1" applyAlignment="1">
      <alignment wrapText="1"/>
    </xf>
    <xf numFmtId="2" fontId="10" fillId="6" borderId="0" xfId="5" applyNumberFormat="1" applyFont="1" applyFill="1" applyBorder="1" applyAlignment="1">
      <alignment wrapText="1"/>
    </xf>
    <xf numFmtId="2" fontId="19" fillId="6" borderId="0" xfId="5" applyNumberFormat="1" applyFont="1" applyFill="1" applyBorder="1" applyAlignment="1"/>
    <xf numFmtId="0" fontId="10" fillId="3" borderId="0" xfId="5" applyFont="1" applyFill="1" applyBorder="1" applyAlignment="1">
      <alignment wrapText="1"/>
    </xf>
    <xf numFmtId="0" fontId="8" fillId="3" borderId="0" xfId="5" applyFont="1" applyFill="1" applyBorder="1" applyAlignment="1">
      <alignment wrapText="1"/>
    </xf>
    <xf numFmtId="0" fontId="25" fillId="3" borderId="0" xfId="0" applyFont="1" applyFill="1" applyAlignment="1">
      <alignment wrapText="1"/>
    </xf>
    <xf numFmtId="0" fontId="8" fillId="3" borderId="0" xfId="5" applyFont="1" applyFill="1" applyBorder="1" applyAlignment="1"/>
    <xf numFmtId="0" fontId="17" fillId="3" borderId="0" xfId="5" applyFont="1" applyFill="1" applyBorder="1" applyAlignment="1">
      <alignment wrapText="1"/>
    </xf>
    <xf numFmtId="0" fontId="17" fillId="3" borderId="0" xfId="5" applyFont="1" applyFill="1" applyBorder="1" applyAlignment="1"/>
    <xf numFmtId="0" fontId="17" fillId="3" borderId="0" xfId="5" applyNumberFormat="1" applyFont="1" applyFill="1" applyBorder="1" applyAlignment="1"/>
    <xf numFmtId="0" fontId="8" fillId="3" borderId="0" xfId="5" applyNumberFormat="1" applyFont="1" applyFill="1" applyBorder="1" applyAlignment="1"/>
    <xf numFmtId="0" fontId="8" fillId="3" borderId="0" xfId="5" applyNumberFormat="1" applyFont="1" applyFill="1" applyBorder="1" applyAlignment="1">
      <alignment wrapText="1"/>
    </xf>
    <xf numFmtId="2" fontId="8" fillId="3" borderId="0" xfId="5" applyNumberFormat="1" applyFont="1" applyFill="1" applyBorder="1" applyAlignment="1">
      <alignment wrapText="1"/>
    </xf>
    <xf numFmtId="0" fontId="11" fillId="3" borderId="0" xfId="0" applyFont="1" applyFill="1" applyBorder="1" applyAlignment="1"/>
    <xf numFmtId="0" fontId="11" fillId="3" borderId="0" xfId="0" applyFont="1" applyFill="1" applyBorder="1" applyAlignment="1">
      <alignment wrapText="1"/>
    </xf>
    <xf numFmtId="0" fontId="8" fillId="4" borderId="0" xfId="0" applyFont="1" applyFill="1"/>
    <xf numFmtId="10" fontId="19" fillId="5" borderId="0" xfId="0" applyNumberFormat="1" applyFont="1" applyFill="1"/>
    <xf numFmtId="0" fontId="6" fillId="2" borderId="0" xfId="0" applyFont="1" applyFill="1" applyAlignment="1"/>
    <xf numFmtId="9" fontId="0" fillId="2" borderId="0" xfId="0" applyNumberFormat="1" applyFill="1"/>
    <xf numFmtId="49" fontId="10" fillId="3" borderId="0" xfId="5" applyNumberFormat="1" applyFont="1" applyFill="1" applyBorder="1" applyAlignment="1">
      <alignment wrapText="1"/>
    </xf>
    <xf numFmtId="49" fontId="10" fillId="2" borderId="0" xfId="5" applyNumberFormat="1" applyFont="1" applyFill="1" applyBorder="1" applyAlignment="1">
      <alignment wrapText="1"/>
    </xf>
    <xf numFmtId="0" fontId="10" fillId="2" borderId="0" xfId="5" applyNumberFormat="1" applyFont="1" applyFill="1" applyBorder="1" applyAlignment="1">
      <alignment wrapText="1"/>
    </xf>
    <xf numFmtId="0" fontId="10" fillId="3" borderId="0" xfId="5" applyNumberFormat="1" applyFont="1" applyFill="1" applyBorder="1" applyAlignment="1">
      <alignment wrapText="1"/>
    </xf>
    <xf numFmtId="2" fontId="10" fillId="6" borderId="0" xfId="5" applyNumberFormat="1" applyFont="1" applyFill="1" applyBorder="1" applyAlignment="1"/>
    <xf numFmtId="0" fontId="10" fillId="3" borderId="0" xfId="5" applyFont="1" applyFill="1" applyBorder="1" applyAlignment="1"/>
    <xf numFmtId="0" fontId="10" fillId="2" borderId="0" xfId="5" applyFont="1" applyFill="1" applyBorder="1" applyAlignment="1"/>
    <xf numFmtId="0" fontId="3" fillId="6" borderId="0" xfId="0" applyFont="1" applyFill="1" applyBorder="1" applyAlignment="1"/>
    <xf numFmtId="0" fontId="0" fillId="6" borderId="0" xfId="0" applyFill="1" applyBorder="1" applyAlignment="1"/>
    <xf numFmtId="0" fontId="3" fillId="2" borderId="11" xfId="0" applyFont="1" applyFill="1" applyBorder="1" applyAlignment="1"/>
    <xf numFmtId="0" fontId="0" fillId="2" borderId="11" xfId="0" applyFill="1" applyBorder="1" applyAlignment="1"/>
    <xf numFmtId="165" fontId="10" fillId="5" borderId="0" xfId="5" applyNumberFormat="1" applyFont="1" applyFill="1" applyBorder="1" applyAlignment="1">
      <alignment wrapText="1"/>
    </xf>
    <xf numFmtId="0" fontId="10" fillId="5" borderId="0" xfId="5" applyFont="1" applyFill="1" applyBorder="1" applyAlignment="1">
      <alignment wrapText="1"/>
    </xf>
    <xf numFmtId="0" fontId="10" fillId="2" borderId="0" xfId="0" applyNumberFormat="1" applyFont="1" applyFill="1"/>
    <xf numFmtId="2" fontId="10" fillId="3" borderId="0" xfId="5" applyNumberFormat="1" applyFont="1" applyFill="1" applyBorder="1" applyAlignment="1">
      <alignment wrapText="1"/>
    </xf>
    <xf numFmtId="0" fontId="8" fillId="3" borderId="0" xfId="0" applyFont="1" applyFill="1" applyBorder="1" applyAlignment="1">
      <alignment wrapText="1"/>
    </xf>
    <xf numFmtId="0" fontId="17" fillId="4" borderId="0" xfId="5" applyFont="1" applyFill="1" applyBorder="1" applyAlignment="1"/>
    <xf numFmtId="2" fontId="17" fillId="4" borderId="0" xfId="5" applyNumberFormat="1" applyFont="1" applyFill="1" applyBorder="1" applyAlignment="1"/>
    <xf numFmtId="2" fontId="10" fillId="3" borderId="0" xfId="5" applyNumberFormat="1" applyFont="1" applyFill="1" applyBorder="1" applyAlignment="1"/>
    <xf numFmtId="0" fontId="8" fillId="6" borderId="0" xfId="5" applyFont="1" applyFill="1" applyBorder="1" applyAlignment="1"/>
    <xf numFmtId="0" fontId="17" fillId="6" borderId="0" xfId="0" applyFont="1" applyFill="1" applyAlignment="1"/>
    <xf numFmtId="49" fontId="8" fillId="3" borderId="0" xfId="5" applyNumberFormat="1" applyFont="1" applyFill="1" applyBorder="1" applyAlignment="1">
      <alignment wrapText="1"/>
    </xf>
    <xf numFmtId="49" fontId="17" fillId="3" borderId="0" xfId="5" applyNumberFormat="1" applyFont="1" applyFill="1" applyBorder="1" applyAlignment="1">
      <alignment wrapText="1"/>
    </xf>
    <xf numFmtId="0" fontId="17" fillId="6" borderId="0" xfId="5" applyNumberFormat="1" applyFont="1" applyFill="1" applyBorder="1" applyAlignment="1"/>
    <xf numFmtId="49" fontId="17" fillId="6" borderId="0" xfId="0" applyNumberFormat="1" applyFont="1" applyFill="1" applyAlignment="1"/>
    <xf numFmtId="2" fontId="17" fillId="6" borderId="0" xfId="5" applyNumberFormat="1" applyFont="1" applyFill="1" applyBorder="1" applyAlignment="1"/>
    <xf numFmtId="0" fontId="17" fillId="5" borderId="0" xfId="5" applyFont="1" applyFill="1" applyBorder="1" applyAlignment="1"/>
    <xf numFmtId="2" fontId="17" fillId="5" borderId="0" xfId="5" applyNumberFormat="1" applyFont="1" applyFill="1" applyBorder="1" applyAlignment="1"/>
    <xf numFmtId="0" fontId="3" fillId="6" borderId="0" xfId="0" applyFont="1" applyFill="1" applyAlignment="1"/>
    <xf numFmtId="164" fontId="17" fillId="6" borderId="0" xfId="5" applyNumberFormat="1" applyFont="1" applyFill="1" applyBorder="1" applyAlignment="1"/>
    <xf numFmtId="0" fontId="17" fillId="6" borderId="0" xfId="0" applyFont="1" applyFill="1" applyBorder="1" applyAlignment="1"/>
    <xf numFmtId="0" fontId="10" fillId="6" borderId="0" xfId="5" applyFont="1" applyFill="1" applyBorder="1" applyAlignment="1"/>
    <xf numFmtId="165" fontId="17" fillId="5" borderId="0" xfId="5" applyNumberFormat="1" applyFont="1" applyFill="1" applyBorder="1" applyAlignment="1"/>
    <xf numFmtId="0" fontId="17" fillId="6" borderId="0" xfId="5" applyFont="1" applyFill="1" applyBorder="1" applyAlignment="1"/>
    <xf numFmtId="164" fontId="10" fillId="6" borderId="0" xfId="5" applyNumberFormat="1" applyFont="1" applyFill="1" applyBorder="1" applyAlignment="1"/>
    <xf numFmtId="0" fontId="3" fillId="2" borderId="13" xfId="0" applyFont="1" applyFill="1" applyBorder="1" applyAlignment="1"/>
    <xf numFmtId="0" fontId="3" fillId="2" borderId="14" xfId="0" applyFont="1" applyFill="1" applyBorder="1" applyAlignment="1"/>
    <xf numFmtId="0" fontId="17" fillId="2" borderId="14" xfId="5" applyFont="1" applyFill="1" applyBorder="1" applyAlignment="1"/>
    <xf numFmtId="0" fontId="17" fillId="2" borderId="15" xfId="5" applyFont="1" applyFill="1" applyBorder="1" applyAlignment="1"/>
    <xf numFmtId="0" fontId="0" fillId="3" borderId="11" xfId="0" applyFill="1" applyBorder="1" applyAlignment="1"/>
    <xf numFmtId="0" fontId="0" fillId="4" borderId="11" xfId="0" applyFill="1" applyBorder="1" applyAlignment="1"/>
    <xf numFmtId="0" fontId="17" fillId="2" borderId="13" xfId="0" applyFont="1" applyFill="1" applyBorder="1" applyAlignment="1"/>
    <xf numFmtId="0" fontId="19" fillId="2" borderId="14" xfId="5" applyFont="1" applyFill="1" applyBorder="1" applyAlignment="1"/>
    <xf numFmtId="0" fontId="19" fillId="2" borderId="15" xfId="5" applyFont="1" applyFill="1" applyBorder="1" applyAlignment="1"/>
    <xf numFmtId="0" fontId="0" fillId="5" borderId="11" xfId="0" applyFill="1" applyBorder="1" applyAlignment="1"/>
    <xf numFmtId="10" fontId="19" fillId="2" borderId="11" xfId="5" applyNumberFormat="1" applyFont="1" applyFill="1" applyBorder="1" applyAlignment="1"/>
    <xf numFmtId="0" fontId="19" fillId="2" borderId="11" xfId="5" applyFont="1" applyFill="1" applyBorder="1" applyAlignment="1"/>
    <xf numFmtId="0" fontId="0" fillId="6" borderId="11" xfId="0" applyFill="1" applyBorder="1" applyAlignment="1"/>
    <xf numFmtId="0" fontId="0" fillId="2" borderId="13" xfId="0" applyFill="1" applyBorder="1" applyAlignment="1"/>
    <xf numFmtId="0" fontId="30" fillId="2" borderId="14" xfId="5" applyFont="1" applyFill="1" applyBorder="1" applyAlignment="1"/>
    <xf numFmtId="0" fontId="30" fillId="2" borderId="15" xfId="5" applyFont="1" applyFill="1" applyBorder="1" applyAlignment="1"/>
    <xf numFmtId="0" fontId="0" fillId="7" borderId="11" xfId="0" applyFill="1" applyBorder="1" applyAlignment="1"/>
    <xf numFmtId="0" fontId="8" fillId="3" borderId="0" xfId="0" applyFont="1" applyFill="1" applyBorder="1" applyAlignment="1"/>
    <xf numFmtId="0" fontId="10" fillId="3" borderId="0" xfId="0" applyFont="1" applyFill="1" applyAlignment="1"/>
    <xf numFmtId="2" fontId="19" fillId="6" borderId="0" xfId="0" applyNumberFormat="1" applyFont="1" applyFill="1" applyAlignment="1"/>
    <xf numFmtId="2" fontId="19" fillId="5" borderId="0" xfId="0" applyNumberFormat="1" applyFont="1" applyFill="1" applyAlignment="1"/>
    <xf numFmtId="1" fontId="19" fillId="5" borderId="0" xfId="0" applyNumberFormat="1" applyFont="1" applyFill="1" applyAlignment="1"/>
    <xf numFmtId="0" fontId="19" fillId="5" borderId="0" xfId="5" applyFont="1" applyFill="1" applyBorder="1" applyAlignment="1"/>
    <xf numFmtId="10" fontId="10" fillId="5" borderId="0" xfId="5" applyNumberFormat="1" applyFont="1" applyFill="1" applyBorder="1" applyAlignment="1"/>
    <xf numFmtId="0" fontId="10" fillId="2" borderId="14" xfId="5" applyFont="1" applyFill="1" applyBorder="1" applyAlignment="1"/>
    <xf numFmtId="0" fontId="10" fillId="2" borderId="15" xfId="5" applyFont="1" applyFill="1" applyBorder="1" applyAlignment="1"/>
    <xf numFmtId="10" fontId="10" fillId="2" borderId="11" xfId="5" applyNumberFormat="1" applyFont="1" applyFill="1" applyBorder="1" applyAlignment="1"/>
    <xf numFmtId="0" fontId="10" fillId="2" borderId="11" xfId="5" applyFont="1" applyFill="1" applyBorder="1" applyAlignment="1"/>
    <xf numFmtId="0" fontId="10" fillId="3" borderId="0" xfId="0" applyFont="1" applyFill="1" applyBorder="1" applyAlignment="1"/>
    <xf numFmtId="0" fontId="10" fillId="2" borderId="0" xfId="0" applyFont="1" applyFill="1" applyBorder="1" applyAlignment="1"/>
    <xf numFmtId="0" fontId="10" fillId="2" borderId="0" xfId="0" applyFont="1" applyFill="1" applyAlignment="1"/>
    <xf numFmtId="2" fontId="10" fillId="2" borderId="0" xfId="5" applyNumberFormat="1" applyFont="1" applyFill="1" applyBorder="1" applyAlignment="1"/>
    <xf numFmtId="0" fontId="19" fillId="4" borderId="0" xfId="5" applyFont="1" applyFill="1" applyBorder="1" applyAlignment="1"/>
    <xf numFmtId="9" fontId="10" fillId="2" borderId="0" xfId="6" applyFont="1" applyFill="1" applyBorder="1" applyAlignment="1" applyProtection="1">
      <alignment horizontal="center"/>
      <protection locked="0"/>
    </xf>
    <xf numFmtId="9" fontId="10" fillId="2" borderId="0" xfId="0" applyNumberFormat="1" applyFont="1" applyFill="1" applyBorder="1" applyAlignment="1">
      <alignment horizontal="center" wrapText="1"/>
    </xf>
    <xf numFmtId="0" fontId="8" fillId="2" borderId="0" xfId="5" applyFont="1" applyFill="1" applyBorder="1" applyAlignment="1"/>
    <xf numFmtId="10" fontId="19" fillId="2" borderId="0" xfId="0" applyNumberFormat="1" applyFont="1" applyFill="1"/>
    <xf numFmtId="0" fontId="17" fillId="4" borderId="0" xfId="0" applyFont="1" applyFill="1"/>
    <xf numFmtId="10" fontId="19" fillId="4" borderId="0" xfId="0" applyNumberFormat="1" applyFont="1" applyFill="1"/>
    <xf numFmtId="2" fontId="8" fillId="2" borderId="0" xfId="0" applyNumberFormat="1" applyFont="1" applyFill="1" applyBorder="1" applyAlignment="1">
      <alignment horizontal="center"/>
    </xf>
    <xf numFmtId="0" fontId="8" fillId="2" borderId="0" xfId="0" applyFont="1" applyFill="1" applyBorder="1" applyAlignment="1"/>
    <xf numFmtId="0" fontId="8" fillId="3" borderId="18" xfId="0" applyFont="1" applyFill="1" applyBorder="1" applyAlignment="1"/>
    <xf numFmtId="0" fontId="19" fillId="2" borderId="0" xfId="0" applyFont="1" applyFill="1" applyBorder="1"/>
    <xf numFmtId="9" fontId="10" fillId="2" borderId="0" xfId="6" applyFont="1" applyFill="1" applyBorder="1" applyAlignment="1">
      <alignment horizontal="center"/>
    </xf>
    <xf numFmtId="0" fontId="0" fillId="2" borderId="10" xfId="0" applyFill="1" applyBorder="1" applyAlignment="1" applyProtection="1">
      <alignment horizontal="center"/>
      <protection locked="0"/>
    </xf>
    <xf numFmtId="9" fontId="10" fillId="2" borderId="10" xfId="6" applyFont="1" applyFill="1" applyBorder="1" applyAlignment="1" applyProtection="1">
      <alignment horizontal="center"/>
      <protection locked="0"/>
    </xf>
    <xf numFmtId="0" fontId="3" fillId="3" borderId="19" xfId="0" applyFont="1" applyFill="1" applyBorder="1"/>
    <xf numFmtId="0" fontId="3" fillId="2" borderId="8" xfId="0" applyFont="1" applyFill="1" applyBorder="1"/>
    <xf numFmtId="2" fontId="17" fillId="3" borderId="20" xfId="0" applyNumberFormat="1" applyFont="1" applyFill="1" applyBorder="1" applyAlignment="1"/>
    <xf numFmtId="2" fontId="0" fillId="3" borderId="12" xfId="0" applyNumberFormat="1" applyFill="1" applyBorder="1" applyAlignment="1"/>
    <xf numFmtId="2" fontId="10" fillId="3" borderId="12" xfId="0" applyNumberFormat="1" applyFont="1" applyFill="1" applyBorder="1" applyAlignment="1"/>
    <xf numFmtId="166" fontId="0" fillId="2" borderId="0" xfId="0" applyNumberFormat="1" applyFill="1" applyBorder="1" applyAlignment="1"/>
    <xf numFmtId="2" fontId="3" fillId="5" borderId="21" xfId="0" applyNumberFormat="1" applyFont="1" applyFill="1" applyBorder="1" applyAlignment="1">
      <alignment horizontal="center" wrapText="1"/>
    </xf>
    <xf numFmtId="2" fontId="3" fillId="5" borderId="22" xfId="0" applyNumberFormat="1" applyFont="1" applyFill="1" applyBorder="1" applyAlignment="1">
      <alignment horizontal="center" wrapText="1"/>
    </xf>
    <xf numFmtId="2" fontId="3" fillId="5" borderId="22" xfId="0" applyNumberFormat="1" applyFont="1" applyFill="1" applyBorder="1" applyAlignment="1">
      <alignment wrapText="1"/>
    </xf>
    <xf numFmtId="2" fontId="23" fillId="3" borderId="12" xfId="0" applyNumberFormat="1" applyFont="1" applyFill="1" applyBorder="1" applyAlignment="1"/>
    <xf numFmtId="2" fontId="8" fillId="3" borderId="32" xfId="0" applyNumberFormat="1" applyFont="1" applyFill="1" applyBorder="1" applyAlignment="1"/>
    <xf numFmtId="2" fontId="23" fillId="3" borderId="20" xfId="0" applyNumberFormat="1" applyFont="1" applyFill="1" applyBorder="1" applyAlignment="1"/>
    <xf numFmtId="0" fontId="10" fillId="3" borderId="12" xfId="0" applyFont="1" applyFill="1" applyBorder="1" applyAlignment="1"/>
    <xf numFmtId="0" fontId="32" fillId="2" borderId="0" xfId="0" applyFont="1" applyFill="1" applyBorder="1"/>
    <xf numFmtId="0" fontId="32" fillId="2" borderId="0" xfId="0" applyFont="1" applyFill="1"/>
    <xf numFmtId="0" fontId="20" fillId="2" borderId="0" xfId="0" applyFont="1" applyFill="1" applyBorder="1"/>
    <xf numFmtId="0" fontId="20" fillId="2" borderId="0" xfId="0" applyFont="1" applyFill="1" applyBorder="1" applyAlignment="1"/>
    <xf numFmtId="0" fontId="11" fillId="3" borderId="10" xfId="0" applyFont="1" applyFill="1" applyBorder="1"/>
    <xf numFmtId="0" fontId="11" fillId="3" borderId="0" xfId="0" applyFont="1" applyFill="1" applyBorder="1"/>
    <xf numFmtId="0" fontId="19" fillId="3" borderId="0" xfId="0" applyFont="1" applyFill="1" applyBorder="1"/>
    <xf numFmtId="0" fontId="11" fillId="2" borderId="15" xfId="0" applyFont="1" applyFill="1" applyBorder="1"/>
    <xf numFmtId="0" fontId="19" fillId="3" borderId="15" xfId="0" applyFont="1" applyFill="1" applyBorder="1"/>
    <xf numFmtId="0" fontId="19" fillId="4" borderId="15" xfId="0" applyFont="1" applyFill="1" applyBorder="1"/>
    <xf numFmtId="0" fontId="19" fillId="5" borderId="15" xfId="0" applyFont="1" applyFill="1" applyBorder="1"/>
    <xf numFmtId="0" fontId="19" fillId="6" borderId="15" xfId="0" applyFont="1" applyFill="1" applyBorder="1"/>
    <xf numFmtId="0" fontId="19" fillId="3" borderId="0" xfId="0" applyFont="1" applyFill="1" applyBorder="1" applyAlignment="1">
      <alignment wrapText="1"/>
    </xf>
    <xf numFmtId="2" fontId="0" fillId="2" borderId="0" xfId="0" applyNumberFormat="1" applyFill="1" applyBorder="1" applyAlignment="1">
      <alignment wrapText="1"/>
    </xf>
    <xf numFmtId="2" fontId="3" fillId="2" borderId="46" xfId="0" applyNumberFormat="1" applyFont="1" applyFill="1" applyBorder="1" applyAlignment="1">
      <alignment wrapText="1"/>
    </xf>
    <xf numFmtId="2" fontId="3" fillId="5" borderId="30" xfId="0" applyNumberFormat="1" applyFont="1" applyFill="1" applyBorder="1" applyAlignment="1">
      <alignment wrapText="1"/>
    </xf>
    <xf numFmtId="2" fontId="0" fillId="2" borderId="0" xfId="0" applyNumberFormat="1" applyFill="1" applyAlignment="1">
      <alignment wrapText="1"/>
    </xf>
    <xf numFmtId="0" fontId="0" fillId="2" borderId="0" xfId="0" applyFill="1" applyBorder="1" applyAlignment="1">
      <alignment wrapText="1"/>
    </xf>
    <xf numFmtId="0" fontId="0" fillId="2" borderId="35" xfId="0" applyFill="1" applyBorder="1"/>
    <xf numFmtId="2" fontId="0" fillId="2" borderId="35" xfId="0" applyNumberFormat="1" applyFill="1" applyBorder="1"/>
    <xf numFmtId="0" fontId="10" fillId="3" borderId="0" xfId="5" applyNumberFormat="1" applyFont="1" applyFill="1" applyBorder="1" applyAlignment="1"/>
    <xf numFmtId="2" fontId="8" fillId="2" borderId="0" xfId="0" applyNumberFormat="1" applyFont="1" applyFill="1" applyBorder="1" applyAlignment="1">
      <alignment wrapText="1"/>
    </xf>
    <xf numFmtId="2" fontId="17" fillId="2" borderId="10" xfId="0" applyNumberFormat="1" applyFont="1" applyFill="1" applyBorder="1" applyAlignment="1">
      <alignment horizontal="center"/>
    </xf>
    <xf numFmtId="1" fontId="17" fillId="2" borderId="10" xfId="0" applyNumberFormat="1" applyFont="1" applyFill="1" applyBorder="1" applyAlignment="1">
      <alignment horizontal="center"/>
    </xf>
    <xf numFmtId="164" fontId="17" fillId="2" borderId="10" xfId="0" applyNumberFormat="1" applyFont="1" applyFill="1" applyBorder="1" applyAlignment="1">
      <alignment horizontal="center"/>
    </xf>
    <xf numFmtId="2" fontId="10" fillId="3" borderId="20" xfId="0" applyNumberFormat="1" applyFont="1" applyFill="1" applyBorder="1" applyAlignment="1"/>
    <xf numFmtId="2" fontId="0" fillId="5" borderId="0" xfId="0" applyNumberFormat="1" applyFill="1" applyBorder="1" applyAlignment="1"/>
    <xf numFmtId="2" fontId="17" fillId="6" borderId="0" xfId="0" applyNumberFormat="1" applyFont="1" applyFill="1" applyAlignment="1">
      <alignment horizontal="right"/>
    </xf>
    <xf numFmtId="0" fontId="34" fillId="2" borderId="0" xfId="0" applyFont="1" applyFill="1" applyBorder="1"/>
    <xf numFmtId="0" fontId="19" fillId="7" borderId="6" xfId="0" applyFont="1" applyFill="1" applyBorder="1"/>
    <xf numFmtId="0" fontId="35" fillId="2" borderId="0" xfId="0" applyFont="1" applyFill="1" applyBorder="1"/>
    <xf numFmtId="0" fontId="36" fillId="2" borderId="0" xfId="1" applyFont="1" applyFill="1" applyAlignment="1" applyProtection="1"/>
    <xf numFmtId="0" fontId="10" fillId="4" borderId="0" xfId="5" applyFont="1" applyFill="1" applyBorder="1" applyAlignment="1"/>
    <xf numFmtId="2" fontId="10" fillId="5" borderId="0" xfId="0" applyNumberFormat="1" applyFont="1" applyFill="1" applyAlignment="1"/>
    <xf numFmtId="2" fontId="10" fillId="6" borderId="0" xfId="0" applyNumberFormat="1" applyFont="1" applyFill="1" applyAlignment="1"/>
    <xf numFmtId="1" fontId="10" fillId="5" borderId="0" xfId="0" applyNumberFormat="1" applyFont="1" applyFill="1" applyAlignment="1"/>
    <xf numFmtId="0" fontId="10" fillId="5" borderId="0" xfId="5" applyFont="1" applyFill="1" applyBorder="1" applyAlignment="1"/>
    <xf numFmtId="49" fontId="0" fillId="6" borderId="0" xfId="5" applyNumberFormat="1" applyFont="1" applyFill="1" applyBorder="1" applyAlignment="1">
      <alignment wrapText="1"/>
    </xf>
    <xf numFmtId="49" fontId="17" fillId="6" borderId="0" xfId="5" applyNumberFormat="1" applyFont="1" applyFill="1" applyBorder="1" applyAlignment="1">
      <alignment wrapText="1"/>
    </xf>
    <xf numFmtId="49" fontId="17" fillId="8" borderId="0" xfId="0" applyNumberFormat="1" applyFont="1" applyFill="1" applyAlignment="1"/>
    <xf numFmtId="0" fontId="39" fillId="9" borderId="0" xfId="0" applyFont="1" applyFill="1"/>
    <xf numFmtId="0" fontId="0" fillId="0" borderId="0" xfId="0" applyAlignment="1"/>
    <xf numFmtId="0" fontId="5" fillId="0" borderId="0" xfId="4"/>
    <xf numFmtId="0" fontId="8" fillId="0" borderId="0" xfId="4" applyFont="1" applyAlignment="1">
      <alignment wrapText="1"/>
    </xf>
    <xf numFmtId="0" fontId="5" fillId="0" borderId="0" xfId="4" applyFill="1"/>
    <xf numFmtId="0" fontId="5" fillId="0" borderId="0" xfId="3" applyFont="1" applyAlignment="1">
      <alignment vertical="center"/>
    </xf>
    <xf numFmtId="0" fontId="5" fillId="0" borderId="0" xfId="3" applyFont="1" applyAlignment="1">
      <alignment horizontal="right" vertical="center"/>
    </xf>
    <xf numFmtId="0" fontId="8" fillId="0" borderId="0" xfId="3" applyFont="1" applyAlignment="1">
      <alignment wrapText="1"/>
    </xf>
    <xf numFmtId="9" fontId="10" fillId="10" borderId="0" xfId="5" applyNumberFormat="1" applyFont="1" applyFill="1" applyBorder="1" applyAlignment="1"/>
    <xf numFmtId="0" fontId="19" fillId="10" borderId="0" xfId="0" applyFont="1" applyFill="1" applyAlignment="1"/>
    <xf numFmtId="0" fontId="10" fillId="10" borderId="0" xfId="0" applyFont="1" applyFill="1" applyAlignment="1"/>
    <xf numFmtId="0" fontId="24" fillId="3" borderId="0" xfId="0" applyFont="1" applyFill="1" applyAlignment="1">
      <alignment wrapText="1"/>
    </xf>
    <xf numFmtId="0" fontId="19" fillId="10" borderId="11" xfId="0" applyFont="1" applyFill="1" applyBorder="1" applyAlignment="1"/>
    <xf numFmtId="0" fontId="10" fillId="10" borderId="11" xfId="0" applyFont="1" applyFill="1" applyBorder="1" applyAlignment="1"/>
    <xf numFmtId="0" fontId="19" fillId="11" borderId="11" xfId="0" applyFont="1" applyFill="1" applyBorder="1" applyAlignment="1"/>
    <xf numFmtId="0" fontId="10" fillId="11" borderId="11" xfId="0" applyFont="1" applyFill="1" applyBorder="1" applyAlignment="1"/>
    <xf numFmtId="0" fontId="17" fillId="2" borderId="0" xfId="0" applyFont="1" applyFill="1" applyBorder="1"/>
    <xf numFmtId="0" fontId="8" fillId="2" borderId="0" xfId="0" applyFont="1" applyFill="1" applyBorder="1"/>
    <xf numFmtId="0" fontId="10" fillId="6" borderId="0" xfId="5" applyNumberFormat="1" applyFont="1" applyFill="1" applyBorder="1" applyAlignment="1">
      <alignment wrapText="1"/>
    </xf>
    <xf numFmtId="49" fontId="17" fillId="6" borderId="0" xfId="5" applyNumberFormat="1" applyFont="1" applyFill="1" applyBorder="1" applyAlignment="1"/>
    <xf numFmtId="49" fontId="10" fillId="6" borderId="0" xfId="5" applyNumberFormat="1" applyFont="1" applyFill="1" applyBorder="1" applyAlignment="1"/>
    <xf numFmtId="49" fontId="8" fillId="3" borderId="0" xfId="5" applyNumberFormat="1" applyFont="1" applyFill="1" applyBorder="1" applyAlignment="1"/>
    <xf numFmtId="0" fontId="17" fillId="6" borderId="0" xfId="5" applyNumberFormat="1" applyFont="1" applyFill="1" applyBorder="1" applyAlignment="1">
      <alignment wrapText="1"/>
    </xf>
    <xf numFmtId="0" fontId="0" fillId="2" borderId="0" xfId="0" applyFill="1" applyBorder="1" applyAlignment="1">
      <alignment horizontal="center"/>
    </xf>
    <xf numFmtId="9" fontId="10" fillId="2" borderId="0" xfId="0" applyNumberFormat="1" applyFont="1" applyFill="1" applyBorder="1" applyAlignment="1">
      <alignment horizontal="center" wrapText="1"/>
    </xf>
    <xf numFmtId="0" fontId="0" fillId="2" borderId="0" xfId="0" applyFill="1" applyBorder="1" applyAlignment="1"/>
    <xf numFmtId="9" fontId="10" fillId="2" borderId="0" xfId="6" applyFont="1" applyFill="1" applyBorder="1" applyAlignment="1" applyProtection="1">
      <alignment horizontal="center"/>
      <protection locked="0"/>
    </xf>
    <xf numFmtId="0" fontId="17" fillId="3" borderId="0" xfId="5" applyNumberFormat="1" applyFont="1" applyFill="1" applyBorder="1" applyAlignment="1">
      <alignment wrapText="1"/>
    </xf>
    <xf numFmtId="0" fontId="8" fillId="3" borderId="0" xfId="5" applyFont="1" applyFill="1" applyBorder="1" applyAlignment="1">
      <alignment wrapText="1"/>
    </xf>
    <xf numFmtId="2" fontId="19" fillId="4" borderId="0" xfId="5" applyNumberFormat="1" applyFont="1" applyFill="1" applyBorder="1" applyAlignment="1"/>
    <xf numFmtId="0" fontId="0" fillId="6" borderId="0" xfId="5" applyFont="1" applyFill="1" applyBorder="1" applyAlignment="1"/>
    <xf numFmtId="2" fontId="3" fillId="5" borderId="41" xfId="0" applyNumberFormat="1" applyFont="1" applyFill="1" applyBorder="1" applyAlignment="1">
      <alignment horizontal="center" wrapText="1"/>
    </xf>
    <xf numFmtId="0" fontId="6" fillId="8" borderId="18" xfId="0" applyFont="1" applyFill="1" applyBorder="1" applyAlignment="1" applyProtection="1">
      <alignment horizontal="center"/>
      <protection locked="0"/>
    </xf>
    <xf numFmtId="0" fontId="6" fillId="8" borderId="10" xfId="0" applyFont="1" applyFill="1" applyBorder="1" applyAlignment="1" applyProtection="1">
      <alignment horizontal="center"/>
      <protection locked="0"/>
    </xf>
    <xf numFmtId="0" fontId="0" fillId="8" borderId="10" xfId="0" applyFill="1" applyBorder="1" applyAlignment="1">
      <alignment horizontal="center"/>
    </xf>
    <xf numFmtId="0" fontId="6" fillId="8" borderId="20" xfId="0" applyFont="1" applyFill="1" applyBorder="1" applyAlignment="1" applyProtection="1">
      <alignment horizontal="center"/>
      <protection locked="0"/>
    </xf>
    <xf numFmtId="0" fontId="0" fillId="8" borderId="19" xfId="0" applyFill="1" applyBorder="1" applyAlignment="1">
      <alignment horizontal="center"/>
    </xf>
    <xf numFmtId="2" fontId="3" fillId="2" borderId="0" xfId="0" applyNumberFormat="1" applyFont="1" applyFill="1" applyBorder="1" applyAlignment="1">
      <alignment horizontal="center" wrapText="1"/>
    </xf>
    <xf numFmtId="0" fontId="0" fillId="2" borderId="0" xfId="0" applyFill="1" applyBorder="1" applyAlignment="1">
      <alignment horizontal="center"/>
    </xf>
    <xf numFmtId="9" fontId="10" fillId="2" borderId="0" xfId="6" applyFont="1" applyFill="1" applyBorder="1" applyAlignment="1" applyProtection="1">
      <alignment horizontal="center"/>
      <protection locked="0"/>
    </xf>
    <xf numFmtId="9" fontId="10" fillId="2" borderId="0" xfId="0" applyNumberFormat="1" applyFont="1" applyFill="1" applyBorder="1" applyAlignment="1">
      <alignment horizontal="center" wrapText="1"/>
    </xf>
    <xf numFmtId="0" fontId="0" fillId="2" borderId="0" xfId="0" applyFill="1" applyBorder="1" applyAlignment="1"/>
    <xf numFmtId="0" fontId="6" fillId="3" borderId="55" xfId="0" applyFont="1" applyFill="1" applyBorder="1" applyAlignment="1">
      <alignment horizontal="center"/>
    </xf>
    <xf numFmtId="0" fontId="0" fillId="2" borderId="0" xfId="0" applyFill="1" applyBorder="1" applyAlignment="1"/>
    <xf numFmtId="2" fontId="17" fillId="2" borderId="0" xfId="0" applyNumberFormat="1" applyFont="1" applyFill="1" applyBorder="1" applyAlignment="1">
      <alignment horizontal="center"/>
    </xf>
    <xf numFmtId="1" fontId="17" fillId="2" borderId="0" xfId="0" applyNumberFormat="1" applyFont="1" applyFill="1" applyBorder="1" applyAlignment="1">
      <alignment horizontal="center"/>
    </xf>
    <xf numFmtId="164" fontId="17" fillId="2" borderId="0" xfId="0" applyNumberFormat="1" applyFont="1" applyFill="1" applyBorder="1" applyAlignment="1">
      <alignment horizontal="center"/>
    </xf>
    <xf numFmtId="2" fontId="19" fillId="2" borderId="0" xfId="0" applyNumberFormat="1" applyFont="1" applyFill="1" applyBorder="1"/>
    <xf numFmtId="0" fontId="0" fillId="2" borderId="0" xfId="0" applyFill="1" applyBorder="1" applyAlignment="1">
      <alignment horizontal="center"/>
    </xf>
    <xf numFmtId="2" fontId="17" fillId="13" borderId="0" xfId="0" applyNumberFormat="1" applyFont="1" applyFill="1" applyBorder="1" applyAlignment="1">
      <alignment horizontal="left"/>
    </xf>
    <xf numFmtId="2" fontId="17" fillId="13" borderId="46" xfId="0" applyNumberFormat="1" applyFont="1" applyFill="1" applyBorder="1" applyAlignment="1">
      <alignment horizontal="left"/>
    </xf>
    <xf numFmtId="0" fontId="19" fillId="14" borderId="42" xfId="0" applyFont="1" applyFill="1" applyBorder="1"/>
    <xf numFmtId="0" fontId="19" fillId="13" borderId="42" xfId="0" applyFont="1" applyFill="1" applyBorder="1" applyAlignment="1">
      <alignment horizontal="center"/>
    </xf>
    <xf numFmtId="0" fontId="17" fillId="2" borderId="45" xfId="0" applyFont="1" applyFill="1" applyBorder="1"/>
    <xf numFmtId="2" fontId="17" fillId="13" borderId="34" xfId="0" applyNumberFormat="1" applyFont="1" applyFill="1" applyBorder="1" applyAlignment="1">
      <alignment horizontal="left"/>
    </xf>
    <xf numFmtId="2" fontId="17" fillId="2" borderId="0" xfId="0" applyNumberFormat="1" applyFont="1" applyFill="1" applyBorder="1" applyAlignment="1">
      <alignment horizontal="left"/>
    </xf>
    <xf numFmtId="0" fontId="0" fillId="2" borderId="0" xfId="0" applyFill="1" applyBorder="1" applyAlignment="1">
      <alignment horizontal="left"/>
    </xf>
    <xf numFmtId="0" fontId="0" fillId="2" borderId="0" xfId="0" applyFill="1" applyAlignment="1">
      <alignment wrapText="1"/>
    </xf>
    <xf numFmtId="1" fontId="0" fillId="2" borderId="0" xfId="0" applyNumberFormat="1" applyFill="1" applyBorder="1"/>
    <xf numFmtId="1" fontId="10" fillId="2" borderId="0" xfId="0" applyNumberFormat="1" applyFont="1" applyFill="1" applyBorder="1" applyAlignment="1">
      <alignment horizontal="center" wrapText="1"/>
    </xf>
    <xf numFmtId="1" fontId="10" fillId="2" borderId="10" xfId="6" applyNumberFormat="1" applyFont="1" applyFill="1" applyBorder="1" applyAlignment="1" applyProtection="1">
      <alignment horizontal="center"/>
      <protection locked="0"/>
    </xf>
    <xf numFmtId="1" fontId="0" fillId="8" borderId="10" xfId="0" applyNumberFormat="1" applyFill="1" applyBorder="1" applyAlignment="1">
      <alignment horizontal="center"/>
    </xf>
    <xf numFmtId="1" fontId="0" fillId="2" borderId="0" xfId="0" applyNumberFormat="1" applyFill="1" applyBorder="1" applyAlignment="1"/>
    <xf numFmtId="1" fontId="0" fillId="2" borderId="0" xfId="0" applyNumberFormat="1" applyFill="1"/>
    <xf numFmtId="164" fontId="8" fillId="3" borderId="32" xfId="0" applyNumberFormat="1" applyFont="1" applyFill="1" applyBorder="1" applyAlignment="1">
      <alignment wrapText="1"/>
    </xf>
    <xf numFmtId="2" fontId="17" fillId="13" borderId="0" xfId="0" applyNumberFormat="1" applyFont="1" applyFill="1" applyBorder="1" applyAlignment="1">
      <alignment horizontal="left" wrapText="1"/>
    </xf>
    <xf numFmtId="2" fontId="17" fillId="2" borderId="0" xfId="0" applyNumberFormat="1" applyFont="1" applyFill="1" applyBorder="1" applyAlignment="1">
      <alignment horizontal="center" wrapText="1"/>
    </xf>
    <xf numFmtId="1" fontId="17" fillId="2" borderId="0" xfId="0" applyNumberFormat="1" applyFont="1" applyFill="1" applyBorder="1" applyAlignment="1">
      <alignment horizontal="center" wrapText="1"/>
    </xf>
    <xf numFmtId="164" fontId="17" fillId="2" borderId="0" xfId="0" applyNumberFormat="1" applyFont="1" applyFill="1" applyBorder="1" applyAlignment="1">
      <alignment horizontal="center" wrapText="1"/>
    </xf>
    <xf numFmtId="2" fontId="17" fillId="13" borderId="10" xfId="0" applyNumberFormat="1" applyFont="1" applyFill="1" applyBorder="1" applyAlignment="1">
      <alignment horizontal="left" wrapText="1"/>
    </xf>
    <xf numFmtId="0" fontId="0" fillId="8" borderId="0" xfId="0" applyFill="1"/>
    <xf numFmtId="0" fontId="10" fillId="3" borderId="0" xfId="0" applyFont="1" applyFill="1"/>
    <xf numFmtId="0" fontId="10" fillId="6" borderId="0" xfId="0" applyFont="1" applyFill="1"/>
    <xf numFmtId="9" fontId="10" fillId="2" borderId="0" xfId="0" applyNumberFormat="1" applyFont="1" applyFill="1" applyBorder="1" applyAlignment="1">
      <alignment horizontal="center" wrapText="1"/>
    </xf>
    <xf numFmtId="0" fontId="0" fillId="2" borderId="0" xfId="0" applyFill="1" applyBorder="1" applyAlignment="1"/>
    <xf numFmtId="0" fontId="6" fillId="3" borderId="55" xfId="0" applyFont="1" applyFill="1" applyBorder="1" applyAlignment="1">
      <alignment horizontal="center"/>
    </xf>
    <xf numFmtId="2" fontId="3" fillId="2" borderId="0" xfId="0" applyNumberFormat="1" applyFont="1" applyFill="1" applyBorder="1" applyAlignment="1">
      <alignment horizontal="center" wrapText="1"/>
    </xf>
    <xf numFmtId="9" fontId="10" fillId="2" borderId="0" xfId="6" applyFont="1" applyFill="1" applyBorder="1" applyAlignment="1" applyProtection="1">
      <alignment horizontal="center"/>
      <protection locked="0"/>
    </xf>
    <xf numFmtId="167" fontId="19" fillId="5" borderId="0" xfId="0" applyNumberFormat="1" applyFont="1" applyFill="1"/>
    <xf numFmtId="0" fontId="10" fillId="0" borderId="0" xfId="0" applyFont="1"/>
    <xf numFmtId="0" fontId="8" fillId="0" borderId="0" xfId="0" applyFont="1"/>
    <xf numFmtId="0" fontId="8" fillId="0" borderId="0" xfId="0" applyFont="1" applyAlignment="1">
      <alignment wrapText="1"/>
    </xf>
    <xf numFmtId="168" fontId="0" fillId="2" borderId="0" xfId="0" applyNumberFormat="1" applyFill="1" applyAlignment="1">
      <alignment horizontal="center"/>
    </xf>
    <xf numFmtId="168" fontId="0" fillId="2" borderId="10" xfId="0" applyNumberFormat="1" applyFill="1" applyBorder="1"/>
    <xf numFmtId="168" fontId="17" fillId="2" borderId="10" xfId="0" applyNumberFormat="1" applyFont="1" applyFill="1" applyBorder="1" applyAlignment="1">
      <alignment horizontal="center"/>
    </xf>
    <xf numFmtId="9" fontId="10" fillId="2" borderId="0" xfId="0" applyNumberFormat="1" applyFont="1" applyFill="1" applyBorder="1" applyAlignment="1">
      <alignment horizontal="center" wrapText="1"/>
    </xf>
    <xf numFmtId="0" fontId="0" fillId="2" borderId="0" xfId="0" applyFill="1" applyBorder="1" applyAlignment="1"/>
    <xf numFmtId="2" fontId="6" fillId="2" borderId="0" xfId="0" applyNumberFormat="1" applyFont="1" applyFill="1" applyBorder="1" applyAlignment="1">
      <alignment horizontal="center" wrapText="1"/>
    </xf>
    <xf numFmtId="0" fontId="31" fillId="2" borderId="0" xfId="0" applyFont="1" applyFill="1" applyBorder="1" applyAlignment="1">
      <alignment horizontal="center"/>
    </xf>
    <xf numFmtId="0" fontId="17" fillId="3" borderId="53" xfId="0" applyFont="1" applyFill="1" applyBorder="1" applyAlignment="1"/>
    <xf numFmtId="0" fontId="10" fillId="3" borderId="61" xfId="0" applyFont="1" applyFill="1" applyBorder="1" applyAlignment="1"/>
    <xf numFmtId="0" fontId="0" fillId="2" borderId="9" xfId="0" applyFill="1" applyBorder="1" applyAlignment="1"/>
    <xf numFmtId="2" fontId="16" fillId="3" borderId="20" xfId="0" applyNumberFormat="1" applyFont="1" applyFill="1" applyBorder="1" applyAlignment="1">
      <alignment wrapText="1"/>
    </xf>
    <xf numFmtId="2" fontId="23" fillId="3" borderId="32" xfId="0" applyNumberFormat="1" applyFont="1" applyFill="1" applyBorder="1" applyAlignment="1"/>
    <xf numFmtId="0" fontId="10" fillId="3" borderId="17" xfId="0" applyFont="1" applyFill="1" applyBorder="1" applyAlignment="1"/>
    <xf numFmtId="0" fontId="10" fillId="3" borderId="33" xfId="0" applyFont="1" applyFill="1" applyBorder="1" applyAlignment="1"/>
    <xf numFmtId="0" fontId="10" fillId="3" borderId="49" xfId="0" applyFont="1" applyFill="1" applyBorder="1" applyAlignment="1"/>
    <xf numFmtId="0" fontId="10" fillId="3" borderId="59" xfId="0" applyFont="1" applyFill="1" applyBorder="1" applyAlignment="1"/>
    <xf numFmtId="0" fontId="0" fillId="2" borderId="0" xfId="0" applyFill="1" applyBorder="1" applyAlignment="1">
      <alignment horizontal="center"/>
    </xf>
    <xf numFmtId="0" fontId="10" fillId="5" borderId="0" xfId="5" applyNumberFormat="1" applyFont="1" applyFill="1" applyBorder="1" applyAlignment="1"/>
    <xf numFmtId="2" fontId="10" fillId="5" borderId="0" xfId="5" applyNumberFormat="1" applyFont="1" applyFill="1" applyBorder="1" applyAlignment="1"/>
    <xf numFmtId="0" fontId="0" fillId="3" borderId="61" xfId="0" applyFill="1" applyBorder="1" applyAlignment="1"/>
    <xf numFmtId="9" fontId="10" fillId="2" borderId="0" xfId="0" applyNumberFormat="1" applyFont="1" applyFill="1" applyBorder="1" applyAlignment="1">
      <alignment horizontal="center" wrapText="1"/>
    </xf>
    <xf numFmtId="0" fontId="0" fillId="2" borderId="0" xfId="0" applyFill="1" applyBorder="1" applyAlignment="1"/>
    <xf numFmtId="2" fontId="3" fillId="2" borderId="0" xfId="0" applyNumberFormat="1" applyFont="1" applyFill="1" applyBorder="1" applyAlignment="1">
      <alignment horizontal="center" wrapText="1"/>
    </xf>
    <xf numFmtId="0" fontId="0" fillId="2" borderId="0" xfId="0" applyFill="1" applyBorder="1" applyAlignment="1">
      <alignment horizontal="center"/>
    </xf>
    <xf numFmtId="9" fontId="10" fillId="2" borderId="0" xfId="6" applyFont="1" applyFill="1" applyBorder="1" applyAlignment="1" applyProtection="1">
      <alignment horizontal="center"/>
      <protection locked="0"/>
    </xf>
    <xf numFmtId="0" fontId="0" fillId="2" borderId="0" xfId="0" applyFill="1" applyBorder="1" applyAlignment="1"/>
    <xf numFmtId="0" fontId="31" fillId="2" borderId="0" xfId="0" applyFont="1" applyFill="1" applyBorder="1" applyAlignment="1">
      <alignment horizontal="center"/>
    </xf>
    <xf numFmtId="0" fontId="6" fillId="3" borderId="55" xfId="0" applyFont="1" applyFill="1" applyBorder="1" applyAlignment="1">
      <alignment horizontal="center"/>
    </xf>
    <xf numFmtId="0" fontId="3" fillId="2" borderId="11" xfId="0" applyFont="1" applyFill="1" applyBorder="1" applyAlignment="1"/>
    <xf numFmtId="0" fontId="0" fillId="2" borderId="11" xfId="0" applyFill="1" applyBorder="1" applyAlignment="1"/>
    <xf numFmtId="0" fontId="8" fillId="3" borderId="0" xfId="5" applyFont="1" applyFill="1" applyBorder="1" applyAlignment="1">
      <alignment wrapText="1"/>
    </xf>
    <xf numFmtId="2" fontId="41" fillId="3" borderId="12" xfId="0" applyNumberFormat="1" applyFont="1" applyFill="1" applyBorder="1" applyAlignment="1"/>
    <xf numFmtId="0" fontId="0" fillId="2" borderId="0" xfId="0" applyFill="1" applyBorder="1" applyAlignment="1"/>
    <xf numFmtId="2" fontId="3" fillId="2" borderId="0" xfId="0" applyNumberFormat="1" applyFont="1" applyFill="1" applyBorder="1" applyAlignment="1">
      <alignment horizontal="center" wrapText="1"/>
    </xf>
    <xf numFmtId="0" fontId="0" fillId="2" borderId="0" xfId="0" applyFill="1" applyBorder="1" applyAlignment="1">
      <alignment horizontal="center"/>
    </xf>
    <xf numFmtId="166" fontId="0" fillId="2" borderId="0" xfId="0" applyNumberFormat="1" applyFill="1" applyBorder="1" applyAlignment="1"/>
    <xf numFmtId="0" fontId="8" fillId="3" borderId="0" xfId="5" applyFont="1" applyFill="1" applyBorder="1" applyAlignment="1">
      <alignment wrapText="1"/>
    </xf>
    <xf numFmtId="2" fontId="8" fillId="3" borderId="59" xfId="0" applyNumberFormat="1" applyFont="1" applyFill="1" applyBorder="1" applyAlignment="1"/>
    <xf numFmtId="2" fontId="8" fillId="13" borderId="33" xfId="0" applyNumberFormat="1" applyFont="1" applyFill="1" applyBorder="1" applyAlignment="1">
      <alignment wrapText="1"/>
    </xf>
    <xf numFmtId="0" fontId="2" fillId="8" borderId="69" xfId="0" applyFont="1" applyFill="1" applyBorder="1" applyAlignment="1" applyProtection="1">
      <alignment horizontal="center"/>
      <protection locked="0"/>
    </xf>
    <xf numFmtId="0" fontId="2" fillId="8" borderId="52" xfId="0" applyFont="1" applyFill="1" applyBorder="1" applyAlignment="1" applyProtection="1">
      <alignment horizontal="center"/>
      <protection locked="0"/>
    </xf>
    <xf numFmtId="0" fontId="2" fillId="8" borderId="50" xfId="0" applyFont="1" applyFill="1" applyBorder="1" applyAlignment="1" applyProtection="1">
      <alignment horizontal="center"/>
      <protection locked="0"/>
    </xf>
    <xf numFmtId="0" fontId="8" fillId="8" borderId="18" xfId="0" applyFont="1" applyFill="1" applyBorder="1" applyAlignment="1"/>
    <xf numFmtId="2" fontId="8" fillId="3" borderId="18" xfId="0" applyNumberFormat="1" applyFont="1" applyFill="1" applyBorder="1" applyAlignment="1">
      <alignment wrapText="1"/>
    </xf>
    <xf numFmtId="2" fontId="8" fillId="3" borderId="33" xfId="0" applyNumberFormat="1" applyFont="1" applyFill="1" applyBorder="1" applyAlignment="1">
      <alignment wrapText="1"/>
    </xf>
    <xf numFmtId="2" fontId="8" fillId="15" borderId="59" xfId="0" applyNumberFormat="1" applyFont="1" applyFill="1" applyBorder="1" applyAlignment="1">
      <alignment wrapText="1"/>
    </xf>
    <xf numFmtId="168" fontId="17" fillId="13" borderId="10" xfId="0" applyNumberFormat="1" applyFont="1" applyFill="1" applyBorder="1" applyAlignment="1">
      <alignment horizontal="left"/>
    </xf>
    <xf numFmtId="0" fontId="19" fillId="2" borderId="35" xfId="0" applyFont="1" applyFill="1" applyBorder="1"/>
    <xf numFmtId="0" fontId="31" fillId="2" borderId="0" xfId="0" applyFont="1" applyFill="1"/>
    <xf numFmtId="0" fontId="42" fillId="2" borderId="0" xfId="0" applyFont="1" applyFill="1" applyBorder="1"/>
    <xf numFmtId="0" fontId="31" fillId="2" borderId="0" xfId="0" applyFont="1" applyFill="1" applyBorder="1"/>
    <xf numFmtId="0" fontId="6" fillId="2" borderId="0" xfId="0" applyFont="1" applyFill="1" applyBorder="1"/>
    <xf numFmtId="0" fontId="31" fillId="0" borderId="17" xfId="0" applyFont="1" applyFill="1" applyBorder="1" applyAlignment="1"/>
    <xf numFmtId="0" fontId="31" fillId="0" borderId="33" xfId="0" applyFont="1" applyFill="1" applyBorder="1" applyAlignment="1"/>
    <xf numFmtId="0" fontId="31" fillId="0" borderId="49" xfId="0" applyFont="1" applyFill="1" applyBorder="1" applyAlignment="1"/>
    <xf numFmtId="0" fontId="6" fillId="0" borderId="18" xfId="0" applyFont="1" applyFill="1" applyBorder="1" applyAlignment="1"/>
    <xf numFmtId="0" fontId="6" fillId="2" borderId="0" xfId="0" applyFont="1" applyFill="1" applyBorder="1" applyAlignment="1"/>
    <xf numFmtId="0" fontId="31" fillId="0" borderId="69" xfId="0" applyFont="1" applyFill="1" applyBorder="1" applyAlignment="1">
      <alignment horizontal="center"/>
    </xf>
    <xf numFmtId="0" fontId="31" fillId="0" borderId="50" xfId="0" applyFont="1" applyFill="1" applyBorder="1" applyAlignment="1">
      <alignment horizontal="center"/>
    </xf>
    <xf numFmtId="9" fontId="31" fillId="0" borderId="68" xfId="0" applyNumberFormat="1" applyFont="1" applyFill="1" applyBorder="1" applyAlignment="1">
      <alignment horizontal="center" wrapText="1"/>
    </xf>
    <xf numFmtId="0" fontId="31" fillId="2" borderId="0" xfId="0" applyFont="1" applyFill="1" applyBorder="1" applyAlignment="1"/>
    <xf numFmtId="0" fontId="31" fillId="0" borderId="53" xfId="0" applyFont="1" applyFill="1" applyBorder="1" applyAlignment="1" applyProtection="1">
      <alignment horizontal="center"/>
      <protection locked="0"/>
    </xf>
    <xf numFmtId="0" fontId="31" fillId="0" borderId="14" xfId="0" applyFont="1" applyFill="1" applyBorder="1" applyAlignment="1" applyProtection="1">
      <alignment horizontal="center"/>
      <protection locked="0"/>
    </xf>
    <xf numFmtId="0" fontId="31" fillId="0" borderId="61" xfId="0" applyFont="1" applyFill="1" applyBorder="1" applyAlignment="1" applyProtection="1">
      <alignment horizontal="center"/>
      <protection locked="0"/>
    </xf>
    <xf numFmtId="0" fontId="31" fillId="2" borderId="10" xfId="0" applyFont="1" applyFill="1" applyBorder="1"/>
    <xf numFmtId="168" fontId="31" fillId="0" borderId="25" xfId="0" applyNumberFormat="1" applyFont="1" applyFill="1" applyBorder="1" applyAlignment="1">
      <alignment horizontal="center"/>
    </xf>
    <xf numFmtId="168" fontId="31" fillId="0" borderId="27" xfId="0" applyNumberFormat="1" applyFont="1" applyFill="1" applyBorder="1" applyAlignment="1">
      <alignment horizontal="center"/>
    </xf>
    <xf numFmtId="168" fontId="31" fillId="0" borderId="9" xfId="0" applyNumberFormat="1" applyFont="1" applyFill="1" applyBorder="1" applyAlignment="1">
      <alignment horizontal="center"/>
    </xf>
    <xf numFmtId="164" fontId="31" fillId="0" borderId="30" xfId="0" applyNumberFormat="1" applyFont="1" applyFill="1" applyBorder="1" applyAlignment="1">
      <alignment horizontal="center"/>
    </xf>
    <xf numFmtId="168" fontId="31" fillId="0" borderId="30" xfId="0" applyNumberFormat="1" applyFont="1" applyFill="1" applyBorder="1" applyAlignment="1">
      <alignment horizontal="center"/>
    </xf>
    <xf numFmtId="168" fontId="31" fillId="0" borderId="70" xfId="0" applyNumberFormat="1" applyFont="1" applyFill="1" applyBorder="1" applyAlignment="1">
      <alignment horizontal="center"/>
    </xf>
    <xf numFmtId="168" fontId="31" fillId="0" borderId="8" xfId="0" applyNumberFormat="1" applyFont="1" applyFill="1" applyBorder="1" applyAlignment="1">
      <alignment horizontal="center"/>
    </xf>
    <xf numFmtId="2" fontId="6" fillId="2" borderId="0" xfId="0" applyNumberFormat="1" applyFont="1" applyFill="1" applyBorder="1" applyAlignment="1">
      <alignment wrapText="1"/>
    </xf>
    <xf numFmtId="0" fontId="31" fillId="0" borderId="55" xfId="0" applyFont="1" applyBorder="1"/>
    <xf numFmtId="0" fontId="31" fillId="0" borderId="55" xfId="0" applyFont="1" applyBorder="1" applyAlignment="1">
      <alignment horizontal="center"/>
    </xf>
    <xf numFmtId="2" fontId="31" fillId="0" borderId="53" xfId="0" applyNumberFormat="1" applyFont="1" applyFill="1" applyBorder="1" applyAlignment="1" applyProtection="1">
      <alignment horizontal="center"/>
      <protection locked="0"/>
    </xf>
    <xf numFmtId="2" fontId="31" fillId="0" borderId="14" xfId="0" applyNumberFormat="1" applyFont="1" applyFill="1" applyBorder="1" applyAlignment="1" applyProtection="1">
      <alignment horizontal="center"/>
      <protection locked="0"/>
    </xf>
    <xf numFmtId="2" fontId="31" fillId="0" borderId="34" xfId="0" applyNumberFormat="1" applyFont="1" applyFill="1" applyBorder="1" applyAlignment="1" applyProtection="1">
      <alignment horizontal="center"/>
      <protection locked="0"/>
    </xf>
    <xf numFmtId="2" fontId="6" fillId="0" borderId="55" xfId="0" applyNumberFormat="1" applyFont="1" applyFill="1" applyBorder="1" applyAlignment="1">
      <alignment horizontal="center"/>
    </xf>
    <xf numFmtId="0" fontId="31" fillId="0" borderId="53" xfId="0" applyFont="1" applyFill="1" applyBorder="1" applyAlignment="1">
      <alignment horizontal="center"/>
    </xf>
    <xf numFmtId="0" fontId="31" fillId="0" borderId="61" xfId="0" applyFont="1" applyFill="1" applyBorder="1" applyAlignment="1">
      <alignment horizontal="center"/>
    </xf>
    <xf numFmtId="9" fontId="31" fillId="0" borderId="34" xfId="0" applyNumberFormat="1" applyFont="1" applyFill="1" applyBorder="1" applyAlignment="1">
      <alignment horizontal="center" wrapText="1"/>
    </xf>
    <xf numFmtId="0" fontId="31" fillId="2" borderId="10" xfId="0" applyFont="1" applyFill="1" applyBorder="1" applyAlignment="1" applyProtection="1">
      <alignment horizontal="center"/>
      <protection locked="0"/>
    </xf>
    <xf numFmtId="0" fontId="31" fillId="8" borderId="10" xfId="0" applyFont="1" applyFill="1" applyBorder="1" applyAlignment="1">
      <alignment horizontal="center"/>
    </xf>
    <xf numFmtId="168" fontId="31" fillId="2" borderId="10" xfId="0" applyNumberFormat="1" applyFont="1" applyFill="1" applyBorder="1" applyAlignment="1">
      <alignment horizontal="center"/>
    </xf>
    <xf numFmtId="1" fontId="31" fillId="2" borderId="0" xfId="0" applyNumberFormat="1" applyFont="1" applyFill="1" applyBorder="1" applyAlignment="1">
      <alignment horizontal="center"/>
    </xf>
    <xf numFmtId="2" fontId="6" fillId="0" borderId="55" xfId="0" applyNumberFormat="1" applyFont="1" applyFill="1" applyBorder="1" applyAlignment="1">
      <alignment textRotation="90" wrapText="1"/>
    </xf>
    <xf numFmtId="0" fontId="8" fillId="8" borderId="0" xfId="5" applyFont="1" applyFill="1" applyBorder="1" applyAlignment="1">
      <alignment wrapText="1"/>
    </xf>
    <xf numFmtId="0" fontId="8" fillId="8" borderId="0" xfId="0" applyFont="1" applyFill="1" applyAlignment="1">
      <alignment wrapText="1"/>
    </xf>
    <xf numFmtId="0" fontId="10" fillId="8" borderId="0" xfId="5" applyFont="1" applyFill="1" applyBorder="1" applyAlignment="1">
      <alignment wrapText="1"/>
    </xf>
    <xf numFmtId="0" fontId="25" fillId="8" borderId="0" xfId="0" applyFont="1" applyFill="1" applyAlignment="1">
      <alignment wrapText="1"/>
    </xf>
    <xf numFmtId="0" fontId="17" fillId="8" borderId="0" xfId="5" applyFont="1" applyFill="1" applyBorder="1" applyAlignment="1"/>
    <xf numFmtId="0" fontId="8" fillId="8" borderId="0" xfId="5" applyFont="1" applyFill="1" applyBorder="1" applyAlignment="1"/>
    <xf numFmtId="0" fontId="17" fillId="8" borderId="0" xfId="0" applyFont="1" applyFill="1" applyAlignment="1"/>
    <xf numFmtId="2" fontId="17" fillId="8" borderId="0" xfId="0" applyNumberFormat="1" applyFont="1" applyFill="1" applyAlignment="1">
      <alignment horizontal="right"/>
    </xf>
    <xf numFmtId="49" fontId="10" fillId="8" borderId="0" xfId="5" applyNumberFormat="1" applyFont="1" applyFill="1" applyBorder="1" applyAlignment="1">
      <alignment wrapText="1"/>
    </xf>
    <xf numFmtId="0" fontId="10" fillId="8" borderId="0" xfId="5" applyNumberFormat="1" applyFont="1" applyFill="1" applyBorder="1" applyAlignment="1">
      <alignment wrapText="1"/>
    </xf>
    <xf numFmtId="2" fontId="17" fillId="8" borderId="0" xfId="5" applyNumberFormat="1" applyFont="1" applyFill="1" applyBorder="1" applyAlignment="1"/>
    <xf numFmtId="0" fontId="17" fillId="8" borderId="0" xfId="0" applyNumberFormat="1" applyFont="1" applyFill="1" applyAlignment="1"/>
    <xf numFmtId="0" fontId="17" fillId="8" borderId="0" xfId="0" applyNumberFormat="1" applyFont="1" applyFill="1" applyAlignment="1">
      <alignment horizontal="right"/>
    </xf>
    <xf numFmtId="0" fontId="10" fillId="8" borderId="0" xfId="5" applyFont="1" applyFill="1" applyBorder="1" applyAlignment="1"/>
    <xf numFmtId="0" fontId="17" fillId="8" borderId="0" xfId="0" applyFont="1" applyFill="1" applyAlignment="1">
      <alignment horizontal="right"/>
    </xf>
    <xf numFmtId="0" fontId="3" fillId="8" borderId="0" xfId="0" applyFont="1" applyFill="1" applyAlignment="1"/>
    <xf numFmtId="0" fontId="3" fillId="8" borderId="0" xfId="0" applyFont="1" applyFill="1" applyBorder="1" applyAlignment="1"/>
    <xf numFmtId="0" fontId="0" fillId="8" borderId="0" xfId="0" applyFill="1" applyBorder="1" applyAlignment="1"/>
    <xf numFmtId="0" fontId="17" fillId="8" borderId="0" xfId="0" applyFont="1" applyFill="1" applyBorder="1" applyAlignment="1">
      <alignment horizontal="right"/>
    </xf>
    <xf numFmtId="164" fontId="17" fillId="8" borderId="0" xfId="5" applyNumberFormat="1" applyFont="1" applyFill="1" applyBorder="1" applyAlignment="1"/>
    <xf numFmtId="2" fontId="10" fillId="8" borderId="0" xfId="5" applyNumberFormat="1" applyFont="1" applyFill="1" applyBorder="1" applyAlignment="1"/>
    <xf numFmtId="0" fontId="29" fillId="8" borderId="0" xfId="0" applyFont="1" applyFill="1" applyBorder="1" applyAlignment="1">
      <alignment wrapText="1"/>
    </xf>
    <xf numFmtId="0" fontId="29" fillId="8" borderId="0" xfId="0" applyFont="1" applyFill="1" applyAlignment="1">
      <alignment wrapText="1"/>
    </xf>
    <xf numFmtId="0" fontId="8" fillId="8" borderId="0" xfId="0" applyFont="1" applyFill="1" applyBorder="1" applyAlignment="1">
      <alignment wrapText="1"/>
    </xf>
    <xf numFmtId="2" fontId="0" fillId="8" borderId="0" xfId="0" applyNumberFormat="1" applyFill="1" applyBorder="1" applyAlignment="1"/>
    <xf numFmtId="2" fontId="8" fillId="8" borderId="0" xfId="5" applyNumberFormat="1" applyFont="1" applyFill="1" applyBorder="1" applyAlignment="1">
      <alignment wrapText="1"/>
    </xf>
    <xf numFmtId="0" fontId="0" fillId="8" borderId="0" xfId="5" applyFont="1" applyFill="1" applyBorder="1" applyAlignment="1"/>
    <xf numFmtId="165" fontId="17" fillId="8" borderId="0" xfId="5" applyNumberFormat="1" applyFont="1" applyFill="1" applyBorder="1" applyAlignment="1"/>
    <xf numFmtId="165" fontId="10" fillId="8" borderId="0" xfId="5" applyNumberFormat="1" applyFont="1" applyFill="1" applyBorder="1" applyAlignment="1">
      <alignment wrapText="1"/>
    </xf>
    <xf numFmtId="2" fontId="10" fillId="8" borderId="0" xfId="5" applyNumberFormat="1" applyFont="1" applyFill="1" applyBorder="1" applyAlignment="1">
      <alignment wrapText="1"/>
    </xf>
    <xf numFmtId="164" fontId="10" fillId="8" borderId="0" xfId="5" applyNumberFormat="1" applyFont="1" applyFill="1" applyBorder="1" applyAlignment="1"/>
    <xf numFmtId="9" fontId="10" fillId="8" borderId="0" xfId="5" applyNumberFormat="1" applyFont="1" applyFill="1" applyBorder="1" applyAlignment="1"/>
    <xf numFmtId="0" fontId="10" fillId="8" borderId="0" xfId="0" applyFont="1" applyFill="1" applyBorder="1" applyAlignment="1"/>
    <xf numFmtId="0" fontId="8" fillId="8" borderId="0" xfId="0" applyFont="1" applyFill="1" applyBorder="1" applyAlignment="1"/>
    <xf numFmtId="0" fontId="11" fillId="8" borderId="0" xfId="0" applyFont="1" applyFill="1" applyBorder="1" applyAlignment="1">
      <alignment wrapText="1"/>
    </xf>
    <xf numFmtId="0" fontId="11" fillId="8" borderId="0" xfId="0" applyFont="1" applyFill="1" applyAlignment="1">
      <alignment wrapText="1"/>
    </xf>
    <xf numFmtId="0" fontId="24" fillId="8" borderId="0" xfId="0" applyFont="1" applyFill="1" applyAlignment="1">
      <alignment wrapText="1"/>
    </xf>
    <xf numFmtId="0" fontId="10" fillId="8" borderId="0" xfId="0" applyFont="1" applyFill="1" applyAlignment="1"/>
    <xf numFmtId="2" fontId="10" fillId="8" borderId="0" xfId="0" applyNumberFormat="1" applyFont="1" applyFill="1" applyAlignment="1"/>
    <xf numFmtId="0" fontId="11" fillId="8" borderId="0" xfId="0" applyFont="1" applyFill="1" applyAlignment="1"/>
    <xf numFmtId="1" fontId="10" fillId="8" borderId="0" xfId="0" applyNumberFormat="1" applyFont="1" applyFill="1" applyAlignment="1"/>
    <xf numFmtId="10" fontId="10" fillId="8" borderId="0" xfId="5" applyNumberFormat="1" applyFont="1" applyFill="1" applyBorder="1" applyAlignment="1"/>
    <xf numFmtId="0" fontId="10" fillId="8" borderId="0" xfId="5" applyNumberFormat="1" applyFont="1" applyFill="1" applyBorder="1" applyAlignment="1"/>
    <xf numFmtId="0" fontId="0" fillId="2" borderId="0" xfId="0" applyFill="1" applyBorder="1" applyAlignment="1"/>
    <xf numFmtId="2" fontId="19" fillId="2" borderId="10" xfId="0" applyNumberFormat="1" applyFont="1" applyFill="1" applyBorder="1"/>
    <xf numFmtId="2" fontId="8" fillId="2" borderId="10" xfId="0" applyNumberFormat="1" applyFont="1" applyFill="1" applyBorder="1" applyAlignment="1">
      <alignment wrapText="1"/>
    </xf>
    <xf numFmtId="2" fontId="3" fillId="5" borderId="23" xfId="0" applyNumberFormat="1" applyFont="1" applyFill="1" applyBorder="1" applyAlignment="1">
      <alignment horizontal="center" wrapText="1"/>
    </xf>
    <xf numFmtId="10" fontId="0" fillId="13" borderId="0" xfId="0" applyNumberFormat="1" applyFill="1" applyBorder="1" applyAlignment="1">
      <alignment horizontal="left" wrapText="1"/>
    </xf>
    <xf numFmtId="10" fontId="17" fillId="13" borderId="0" xfId="0" applyNumberFormat="1" applyFont="1" applyFill="1" applyBorder="1" applyAlignment="1">
      <alignment horizontal="left"/>
    </xf>
    <xf numFmtId="10" fontId="0" fillId="13" borderId="34" xfId="0" applyNumberFormat="1" applyFill="1" applyBorder="1" applyAlignment="1">
      <alignment horizontal="left"/>
    </xf>
    <xf numFmtId="10" fontId="0" fillId="13" borderId="0" xfId="0" applyNumberFormat="1" applyFill="1" applyBorder="1" applyAlignment="1">
      <alignment horizontal="left"/>
    </xf>
    <xf numFmtId="10" fontId="17" fillId="13" borderId="34" xfId="0" applyNumberFormat="1" applyFont="1" applyFill="1" applyBorder="1" applyAlignment="1">
      <alignment horizontal="left"/>
    </xf>
    <xf numFmtId="10" fontId="17" fillId="13" borderId="0" xfId="0" applyNumberFormat="1" applyFont="1" applyFill="1" applyBorder="1" applyAlignment="1">
      <alignment horizontal="left" wrapText="1"/>
    </xf>
    <xf numFmtId="10" fontId="17" fillId="13" borderId="46" xfId="0" applyNumberFormat="1" applyFont="1" applyFill="1" applyBorder="1" applyAlignment="1">
      <alignment horizontal="left"/>
    </xf>
    <xf numFmtId="0" fontId="9" fillId="2" borderId="0" xfId="0" applyFont="1" applyFill="1" applyBorder="1" applyAlignment="1"/>
    <xf numFmtId="0" fontId="42" fillId="2" borderId="0" xfId="0" applyFont="1" applyFill="1" applyBorder="1" applyAlignment="1"/>
    <xf numFmtId="1" fontId="0" fillId="2" borderId="0" xfId="0" applyNumberFormat="1" applyFill="1" applyBorder="1" applyAlignment="1">
      <alignment horizontal="left"/>
    </xf>
    <xf numFmtId="0" fontId="31" fillId="2" borderId="0" xfId="0" applyFont="1" applyFill="1" applyBorder="1" applyAlignment="1">
      <alignment horizontal="left"/>
    </xf>
    <xf numFmtId="168" fontId="0" fillId="13" borderId="10" xfId="0" applyNumberFormat="1" applyFill="1" applyBorder="1" applyAlignment="1">
      <alignment horizontal="left" wrapText="1"/>
    </xf>
    <xf numFmtId="168" fontId="17" fillId="13" borderId="10" xfId="0" applyNumberFormat="1" applyFont="1" applyFill="1" applyBorder="1" applyAlignment="1">
      <alignment horizontal="left" wrapText="1"/>
    </xf>
    <xf numFmtId="1" fontId="17" fillId="13" borderId="10" xfId="0" applyNumberFormat="1" applyFont="1" applyFill="1" applyBorder="1" applyAlignment="1">
      <alignment horizontal="left" wrapText="1"/>
    </xf>
    <xf numFmtId="168" fontId="31" fillId="13" borderId="10" xfId="0" applyNumberFormat="1" applyFont="1" applyFill="1" applyBorder="1" applyAlignment="1">
      <alignment horizontal="left" wrapText="1"/>
    </xf>
    <xf numFmtId="0" fontId="0" fillId="13" borderId="10" xfId="0" applyFill="1" applyBorder="1" applyAlignment="1">
      <alignment horizontal="left" wrapText="1"/>
    </xf>
    <xf numFmtId="2" fontId="17" fillId="13" borderId="19" xfId="0" applyNumberFormat="1" applyFont="1" applyFill="1" applyBorder="1" applyAlignment="1">
      <alignment horizontal="left" wrapText="1"/>
    </xf>
    <xf numFmtId="168" fontId="0" fillId="13" borderId="0" xfId="0" applyNumberFormat="1" applyFill="1" applyBorder="1" applyAlignment="1">
      <alignment horizontal="left"/>
    </xf>
    <xf numFmtId="168" fontId="17" fillId="13" borderId="0" xfId="0" applyNumberFormat="1" applyFont="1" applyFill="1" applyBorder="1" applyAlignment="1">
      <alignment horizontal="left"/>
    </xf>
    <xf numFmtId="1" fontId="17" fillId="13" borderId="0" xfId="0" applyNumberFormat="1" applyFont="1" applyFill="1" applyBorder="1" applyAlignment="1">
      <alignment horizontal="left"/>
    </xf>
    <xf numFmtId="168" fontId="31" fillId="13" borderId="0" xfId="0" applyNumberFormat="1" applyFont="1" applyFill="1" applyBorder="1" applyAlignment="1">
      <alignment horizontal="left"/>
    </xf>
    <xf numFmtId="0" fontId="0" fillId="13" borderId="0" xfId="0" applyFill="1" applyBorder="1" applyAlignment="1">
      <alignment horizontal="left"/>
    </xf>
    <xf numFmtId="2" fontId="17" fillId="13" borderId="35" xfId="0" applyNumberFormat="1" applyFont="1" applyFill="1" applyBorder="1" applyAlignment="1">
      <alignment horizontal="left"/>
    </xf>
    <xf numFmtId="168" fontId="0" fillId="13" borderId="0" xfId="0" applyNumberFormat="1" applyFill="1" applyBorder="1" applyAlignment="1">
      <alignment horizontal="left" wrapText="1"/>
    </xf>
    <xf numFmtId="168" fontId="17" fillId="13" borderId="0" xfId="0" applyNumberFormat="1" applyFont="1" applyFill="1" applyBorder="1" applyAlignment="1">
      <alignment horizontal="left" wrapText="1"/>
    </xf>
    <xf numFmtId="1" fontId="17" fillId="13" borderId="0" xfId="0" applyNumberFormat="1" applyFont="1" applyFill="1" applyBorder="1" applyAlignment="1">
      <alignment horizontal="left" wrapText="1"/>
    </xf>
    <xf numFmtId="168" fontId="31" fillId="13" borderId="0" xfId="0" applyNumberFormat="1" applyFont="1" applyFill="1" applyBorder="1" applyAlignment="1">
      <alignment horizontal="left" wrapText="1"/>
    </xf>
    <xf numFmtId="0" fontId="0" fillId="13" borderId="0" xfId="0" applyFill="1" applyBorder="1" applyAlignment="1">
      <alignment horizontal="left" wrapText="1"/>
    </xf>
    <xf numFmtId="2" fontId="17" fillId="13" borderId="35" xfId="0" applyNumberFormat="1" applyFont="1" applyFill="1" applyBorder="1" applyAlignment="1">
      <alignment horizontal="left" wrapText="1"/>
    </xf>
    <xf numFmtId="168" fontId="0" fillId="13" borderId="34" xfId="0" applyNumberFormat="1" applyFill="1" applyBorder="1" applyAlignment="1">
      <alignment horizontal="left"/>
    </xf>
    <xf numFmtId="168" fontId="17" fillId="13" borderId="34" xfId="0" applyNumberFormat="1" applyFont="1" applyFill="1" applyBorder="1" applyAlignment="1">
      <alignment horizontal="left"/>
    </xf>
    <xf numFmtId="3" fontId="17" fillId="13" borderId="34" xfId="0" applyNumberFormat="1" applyFont="1" applyFill="1" applyBorder="1" applyAlignment="1">
      <alignment horizontal="left"/>
    </xf>
    <xf numFmtId="164" fontId="17" fillId="13" borderId="34" xfId="0" applyNumberFormat="1" applyFont="1" applyFill="1" applyBorder="1" applyAlignment="1">
      <alignment horizontal="left"/>
    </xf>
    <xf numFmtId="1" fontId="17" fillId="13" borderId="34" xfId="0" applyNumberFormat="1" applyFont="1" applyFill="1" applyBorder="1" applyAlignment="1">
      <alignment horizontal="left"/>
    </xf>
    <xf numFmtId="168" fontId="31" fillId="13" borderId="34" xfId="0" applyNumberFormat="1" applyFont="1" applyFill="1" applyBorder="1" applyAlignment="1">
      <alignment horizontal="left"/>
    </xf>
    <xf numFmtId="0" fontId="0" fillId="13" borderId="34" xfId="0" applyFill="1" applyBorder="1" applyAlignment="1">
      <alignment horizontal="left"/>
    </xf>
    <xf numFmtId="2" fontId="17" fillId="13" borderId="16" xfId="0" applyNumberFormat="1" applyFont="1" applyFill="1" applyBorder="1" applyAlignment="1">
      <alignment horizontal="left"/>
    </xf>
    <xf numFmtId="164" fontId="17" fillId="13" borderId="0" xfId="0" applyNumberFormat="1" applyFont="1" applyFill="1" applyBorder="1" applyAlignment="1">
      <alignment horizontal="left"/>
    </xf>
    <xf numFmtId="1" fontId="0" fillId="13" borderId="34" xfId="0" applyNumberFormat="1" applyFill="1" applyBorder="1" applyAlignment="1">
      <alignment horizontal="left"/>
    </xf>
    <xf numFmtId="1" fontId="0" fillId="13" borderId="0" xfId="0" applyNumberFormat="1" applyFill="1" applyBorder="1" applyAlignment="1">
      <alignment horizontal="left" wrapText="1"/>
    </xf>
    <xf numFmtId="1" fontId="0" fillId="13" borderId="0" xfId="0" applyNumberFormat="1" applyFill="1" applyBorder="1" applyAlignment="1">
      <alignment horizontal="left"/>
    </xf>
    <xf numFmtId="168" fontId="17" fillId="13" borderId="46" xfId="0" applyNumberFormat="1" applyFont="1" applyFill="1" applyBorder="1" applyAlignment="1">
      <alignment horizontal="left"/>
    </xf>
    <xf numFmtId="0" fontId="0" fillId="13" borderId="46" xfId="0" applyFill="1" applyBorder="1" applyAlignment="1">
      <alignment horizontal="left"/>
    </xf>
    <xf numFmtId="1" fontId="0" fillId="13" borderId="46" xfId="0" applyNumberFormat="1" applyFill="1" applyBorder="1" applyAlignment="1">
      <alignment horizontal="left"/>
    </xf>
    <xf numFmtId="1" fontId="17" fillId="13" borderId="46" xfId="0" applyNumberFormat="1" applyFont="1" applyFill="1" applyBorder="1" applyAlignment="1">
      <alignment horizontal="left"/>
    </xf>
    <xf numFmtId="168" fontId="31" fillId="13" borderId="46" xfId="0" applyNumberFormat="1" applyFont="1" applyFill="1" applyBorder="1" applyAlignment="1">
      <alignment horizontal="left"/>
    </xf>
    <xf numFmtId="2" fontId="17" fillId="13" borderId="47" xfId="0" applyNumberFormat="1" applyFont="1" applyFill="1" applyBorder="1" applyAlignment="1">
      <alignment horizontal="left"/>
    </xf>
    <xf numFmtId="1" fontId="17" fillId="2" borderId="0" xfId="0" applyNumberFormat="1" applyFont="1" applyFill="1" applyBorder="1" applyAlignment="1">
      <alignment horizontal="left"/>
    </xf>
    <xf numFmtId="1" fontId="31" fillId="2" borderId="0" xfId="0" applyNumberFormat="1" applyFont="1" applyFill="1" applyBorder="1" applyAlignment="1">
      <alignment horizontal="left"/>
    </xf>
    <xf numFmtId="0" fontId="0" fillId="2" borderId="0" xfId="0" applyFill="1" applyAlignment="1">
      <alignment horizontal="left"/>
    </xf>
    <xf numFmtId="0" fontId="0" fillId="0" borderId="0" xfId="0" applyAlignment="1">
      <alignment horizontal="left"/>
    </xf>
    <xf numFmtId="1" fontId="10" fillId="13" borderId="0" xfId="0" applyNumberFormat="1" applyFont="1" applyFill="1" applyBorder="1" applyAlignment="1">
      <alignment horizontal="left" wrapText="1"/>
    </xf>
    <xf numFmtId="2" fontId="19" fillId="14" borderId="51" xfId="0" applyNumberFormat="1" applyFont="1" applyFill="1" applyBorder="1" applyAlignment="1">
      <alignment wrapText="1"/>
    </xf>
    <xf numFmtId="2" fontId="8" fillId="14" borderId="57" xfId="0" applyNumberFormat="1" applyFont="1" applyFill="1" applyBorder="1"/>
    <xf numFmtId="2" fontId="19" fillId="14" borderId="57" xfId="0" applyNumberFormat="1" applyFont="1" applyFill="1" applyBorder="1" applyAlignment="1">
      <alignment wrapText="1"/>
    </xf>
    <xf numFmtId="2" fontId="8" fillId="14" borderId="68" xfId="0" applyNumberFormat="1" applyFont="1" applyFill="1" applyBorder="1" applyAlignment="1">
      <alignment wrapText="1"/>
    </xf>
    <xf numFmtId="2" fontId="8" fillId="14" borderId="57" xfId="0" applyNumberFormat="1" applyFont="1" applyFill="1" applyBorder="1" applyAlignment="1">
      <alignment wrapText="1"/>
    </xf>
    <xf numFmtId="2" fontId="8" fillId="14" borderId="68" xfId="0" applyNumberFormat="1" applyFont="1" applyFill="1" applyBorder="1"/>
    <xf numFmtId="0" fontId="7" fillId="14" borderId="57" xfId="1" applyFill="1" applyBorder="1" applyAlignment="1" applyProtection="1">
      <alignment wrapText="1"/>
    </xf>
    <xf numFmtId="2" fontId="0" fillId="14" borderId="57" xfId="0" applyNumberFormat="1" applyFont="1" applyFill="1" applyBorder="1"/>
    <xf numFmtId="2" fontId="0" fillId="14" borderId="58" xfId="0" applyNumberFormat="1" applyFont="1" applyFill="1" applyBorder="1"/>
    <xf numFmtId="164" fontId="10" fillId="18" borderId="26" xfId="0" applyNumberFormat="1" applyFont="1" applyFill="1" applyBorder="1" applyAlignment="1">
      <alignment horizontal="right"/>
    </xf>
    <xf numFmtId="168" fontId="10" fillId="18" borderId="24" xfId="0" applyNumberFormat="1" applyFont="1" applyFill="1" applyBorder="1" applyAlignment="1">
      <alignment horizontal="right"/>
    </xf>
    <xf numFmtId="168" fontId="10" fillId="18" borderId="25" xfId="0" applyNumberFormat="1" applyFont="1" applyFill="1" applyBorder="1" applyAlignment="1">
      <alignment horizontal="right"/>
    </xf>
    <xf numFmtId="168" fontId="31" fillId="0" borderId="0" xfId="0" applyNumberFormat="1" applyFont="1" applyFill="1" applyBorder="1" applyAlignment="1">
      <alignment horizontal="right"/>
    </xf>
    <xf numFmtId="164" fontId="17" fillId="18" borderId="26" xfId="0" applyNumberFormat="1" applyFont="1" applyFill="1" applyBorder="1" applyAlignment="1">
      <alignment horizontal="right"/>
    </xf>
    <xf numFmtId="164" fontId="17" fillId="18" borderId="24" xfId="0" applyNumberFormat="1" applyFont="1" applyFill="1" applyBorder="1" applyAlignment="1">
      <alignment horizontal="right"/>
    </xf>
    <xf numFmtId="164" fontId="17" fillId="18" borderId="25" xfId="0" applyNumberFormat="1" applyFont="1" applyFill="1" applyBorder="1" applyAlignment="1">
      <alignment horizontal="right"/>
    </xf>
    <xf numFmtId="164" fontId="17" fillId="18" borderId="40" xfId="0" applyNumberFormat="1" applyFont="1" applyFill="1" applyBorder="1" applyAlignment="1">
      <alignment horizontal="right"/>
    </xf>
    <xf numFmtId="164" fontId="17" fillId="18" borderId="31" xfId="0" applyNumberFormat="1" applyFont="1" applyFill="1" applyBorder="1" applyAlignment="1">
      <alignment horizontal="right"/>
    </xf>
    <xf numFmtId="164" fontId="17" fillId="18" borderId="63" xfId="0" applyNumberFormat="1" applyFont="1" applyFill="1" applyBorder="1" applyAlignment="1">
      <alignment horizontal="right"/>
    </xf>
    <xf numFmtId="168" fontId="10" fillId="18" borderId="27" xfId="0" applyNumberFormat="1" applyFont="1" applyFill="1" applyBorder="1" applyAlignment="1">
      <alignment horizontal="right"/>
    </xf>
    <xf numFmtId="164" fontId="17" fillId="18" borderId="27" xfId="0" applyNumberFormat="1" applyFont="1" applyFill="1" applyBorder="1" applyAlignment="1">
      <alignment horizontal="right"/>
    </xf>
    <xf numFmtId="164" fontId="17" fillId="18" borderId="71" xfId="0" applyNumberFormat="1" applyFont="1" applyFill="1" applyBorder="1" applyAlignment="1">
      <alignment horizontal="right"/>
    </xf>
    <xf numFmtId="164" fontId="17" fillId="18" borderId="29" xfId="0" applyNumberFormat="1" applyFont="1" applyFill="1" applyBorder="1" applyAlignment="1">
      <alignment horizontal="right"/>
    </xf>
    <xf numFmtId="168" fontId="10" fillId="18" borderId="6" xfId="0" applyNumberFormat="1" applyFont="1" applyFill="1" applyBorder="1" applyAlignment="1">
      <alignment horizontal="right"/>
    </xf>
    <xf numFmtId="168" fontId="10" fillId="18" borderId="28" xfId="0" applyNumberFormat="1" applyFont="1" applyFill="1" applyBorder="1" applyAlignment="1">
      <alignment horizontal="right"/>
    </xf>
    <xf numFmtId="168" fontId="10" fillId="18" borderId="9" xfId="0" applyNumberFormat="1" applyFont="1" applyFill="1" applyBorder="1" applyAlignment="1">
      <alignment horizontal="right"/>
    </xf>
    <xf numFmtId="168" fontId="31" fillId="0" borderId="61" xfId="0" applyNumberFormat="1" applyFont="1" applyFill="1" applyBorder="1" applyAlignment="1">
      <alignment horizontal="right"/>
    </xf>
    <xf numFmtId="168" fontId="17" fillId="18" borderId="6" xfId="0" applyNumberFormat="1" applyFont="1" applyFill="1" applyBorder="1" applyAlignment="1">
      <alignment horizontal="right"/>
    </xf>
    <xf numFmtId="168" fontId="17" fillId="18" borderId="28" xfId="0" applyNumberFormat="1" applyFont="1" applyFill="1" applyBorder="1" applyAlignment="1">
      <alignment horizontal="right"/>
    </xf>
    <xf numFmtId="168" fontId="17" fillId="18" borderId="9" xfId="0" applyNumberFormat="1" applyFont="1" applyFill="1" applyBorder="1" applyAlignment="1">
      <alignment horizontal="right"/>
    </xf>
    <xf numFmtId="164" fontId="17" fillId="18" borderId="6" xfId="0" applyNumberFormat="1" applyFont="1" applyFill="1" applyBorder="1" applyAlignment="1">
      <alignment horizontal="right"/>
    </xf>
    <xf numFmtId="164" fontId="17" fillId="18" borderId="28" xfId="0" applyNumberFormat="1" applyFont="1" applyFill="1" applyBorder="1" applyAlignment="1">
      <alignment horizontal="right"/>
    </xf>
    <xf numFmtId="164" fontId="17" fillId="18" borderId="9" xfId="0" applyNumberFormat="1" applyFont="1" applyFill="1" applyBorder="1" applyAlignment="1">
      <alignment horizontal="right"/>
    </xf>
    <xf numFmtId="168" fontId="10" fillId="16" borderId="26" xfId="0" applyNumberFormat="1" applyFont="1" applyFill="1" applyBorder="1" applyAlignment="1">
      <alignment horizontal="right"/>
    </xf>
    <xf numFmtId="168" fontId="10" fillId="16" borderId="24" xfId="0" applyNumberFormat="1" applyFont="1" applyFill="1" applyBorder="1" applyAlignment="1">
      <alignment horizontal="right"/>
    </xf>
    <xf numFmtId="168" fontId="10" fillId="16" borderId="27" xfId="0" applyNumberFormat="1" applyFont="1" applyFill="1" applyBorder="1" applyAlignment="1">
      <alignment horizontal="right"/>
    </xf>
    <xf numFmtId="168" fontId="17" fillId="16" borderId="26" xfId="0" applyNumberFormat="1" applyFont="1" applyFill="1" applyBorder="1" applyAlignment="1">
      <alignment horizontal="right"/>
    </xf>
    <xf numFmtId="168" fontId="17" fillId="16" borderId="24" xfId="0" applyNumberFormat="1" applyFont="1" applyFill="1" applyBorder="1" applyAlignment="1">
      <alignment horizontal="right"/>
    </xf>
    <xf numFmtId="168" fontId="17" fillId="16" borderId="27" xfId="0" applyNumberFormat="1" applyFont="1" applyFill="1" applyBorder="1" applyAlignment="1">
      <alignment horizontal="right"/>
    </xf>
    <xf numFmtId="164" fontId="17" fillId="16" borderId="26" xfId="0" applyNumberFormat="1" applyFont="1" applyFill="1" applyBorder="1" applyAlignment="1">
      <alignment horizontal="right"/>
    </xf>
    <xf numFmtId="164" fontId="17" fillId="16" borderId="24" xfId="0" applyNumberFormat="1" applyFont="1" applyFill="1" applyBorder="1" applyAlignment="1">
      <alignment horizontal="right"/>
    </xf>
    <xf numFmtId="164" fontId="17" fillId="16" borderId="27" xfId="0" applyNumberFormat="1" applyFont="1" applyFill="1" applyBorder="1" applyAlignment="1">
      <alignment horizontal="right"/>
    </xf>
    <xf numFmtId="164" fontId="10" fillId="16" borderId="22" xfId="0" applyNumberFormat="1" applyFont="1" applyFill="1" applyBorder="1" applyAlignment="1">
      <alignment horizontal="right"/>
    </xf>
    <xf numFmtId="164" fontId="10" fillId="16" borderId="30" xfId="0" applyNumberFormat="1" applyFont="1" applyFill="1" applyBorder="1" applyAlignment="1">
      <alignment horizontal="right"/>
    </xf>
    <xf numFmtId="164" fontId="31" fillId="0" borderId="60" xfId="0" applyNumberFormat="1" applyFont="1" applyFill="1" applyBorder="1" applyAlignment="1">
      <alignment horizontal="right"/>
    </xf>
    <xf numFmtId="164" fontId="17" fillId="16" borderId="44" xfId="0" applyNumberFormat="1" applyFont="1" applyFill="1" applyBorder="1" applyAlignment="1">
      <alignment horizontal="right"/>
    </xf>
    <xf numFmtId="164" fontId="17" fillId="16" borderId="22" xfId="0" applyNumberFormat="1" applyFont="1" applyFill="1" applyBorder="1" applyAlignment="1">
      <alignment horizontal="right"/>
    </xf>
    <xf numFmtId="164" fontId="17" fillId="16" borderId="30" xfId="0" applyNumberFormat="1" applyFont="1" applyFill="1" applyBorder="1" applyAlignment="1">
      <alignment horizontal="right"/>
    </xf>
    <xf numFmtId="168" fontId="10" fillId="19" borderId="23" xfId="0" applyNumberFormat="1" applyFont="1" applyFill="1" applyBorder="1" applyAlignment="1">
      <alignment horizontal="right"/>
    </xf>
    <xf numFmtId="168" fontId="10" fillId="19" borderId="24" xfId="0" applyNumberFormat="1" applyFont="1" applyFill="1" applyBorder="1" applyAlignment="1">
      <alignment horizontal="right"/>
    </xf>
    <xf numFmtId="168" fontId="10" fillId="19" borderId="25" xfId="0" applyNumberFormat="1" applyFont="1" applyFill="1" applyBorder="1" applyAlignment="1">
      <alignment horizontal="right"/>
    </xf>
    <xf numFmtId="168" fontId="31" fillId="0" borderId="10" xfId="0" applyNumberFormat="1" applyFont="1" applyFill="1" applyBorder="1" applyAlignment="1">
      <alignment horizontal="right"/>
    </xf>
    <xf numFmtId="164" fontId="17" fillId="19" borderId="23" xfId="0" applyNumberFormat="1" applyFont="1" applyFill="1" applyBorder="1" applyAlignment="1">
      <alignment horizontal="right"/>
    </xf>
    <xf numFmtId="164" fontId="17" fillId="19" borderId="24" xfId="0" applyNumberFormat="1" applyFont="1" applyFill="1" applyBorder="1" applyAlignment="1">
      <alignment horizontal="right"/>
    </xf>
    <xf numFmtId="164" fontId="17" fillId="19" borderId="25" xfId="0" applyNumberFormat="1" applyFont="1" applyFill="1" applyBorder="1" applyAlignment="1">
      <alignment horizontal="right"/>
    </xf>
    <xf numFmtId="164" fontId="17" fillId="19" borderId="26" xfId="0" applyNumberFormat="1" applyFont="1" applyFill="1" applyBorder="1" applyAlignment="1">
      <alignment horizontal="right"/>
    </xf>
    <xf numFmtId="164" fontId="17" fillId="19" borderId="63" xfId="0" applyNumberFormat="1" applyFont="1" applyFill="1" applyBorder="1" applyAlignment="1">
      <alignment horizontal="right"/>
    </xf>
    <xf numFmtId="168" fontId="10" fillId="19" borderId="26" xfId="0" applyNumberFormat="1" applyFont="1" applyFill="1" applyBorder="1" applyAlignment="1">
      <alignment horizontal="right"/>
    </xf>
    <xf numFmtId="168" fontId="10" fillId="19" borderId="27" xfId="0" applyNumberFormat="1" applyFont="1" applyFill="1" applyBorder="1" applyAlignment="1">
      <alignment horizontal="right"/>
    </xf>
    <xf numFmtId="164" fontId="17" fillId="19" borderId="27" xfId="0" applyNumberFormat="1" applyFont="1" applyFill="1" applyBorder="1" applyAlignment="1">
      <alignment horizontal="right"/>
    </xf>
    <xf numFmtId="168" fontId="10" fillId="19" borderId="12" xfId="0" applyNumberFormat="1" applyFont="1" applyFill="1" applyBorder="1" applyAlignment="1">
      <alignment horizontal="right"/>
    </xf>
    <xf numFmtId="168" fontId="17" fillId="19" borderId="26" xfId="0" applyNumberFormat="1" applyFont="1" applyFill="1" applyBorder="1" applyAlignment="1">
      <alignment horizontal="right"/>
    </xf>
    <xf numFmtId="168" fontId="17" fillId="19" borderId="24" xfId="0" applyNumberFormat="1" applyFont="1" applyFill="1" applyBorder="1" applyAlignment="1">
      <alignment horizontal="right"/>
    </xf>
    <xf numFmtId="168" fontId="17" fillId="19" borderId="27" xfId="0" applyNumberFormat="1" applyFont="1" applyFill="1" applyBorder="1" applyAlignment="1">
      <alignment horizontal="right"/>
    </xf>
    <xf numFmtId="168" fontId="10" fillId="19" borderId="29" xfId="0" applyNumberFormat="1" applyFont="1" applyFill="1" applyBorder="1" applyAlignment="1">
      <alignment horizontal="right"/>
    </xf>
    <xf numFmtId="168" fontId="17" fillId="19" borderId="29" xfId="0" applyNumberFormat="1" applyFont="1" applyFill="1" applyBorder="1" applyAlignment="1">
      <alignment horizontal="right"/>
    </xf>
    <xf numFmtId="168" fontId="10" fillId="19" borderId="6" xfId="0" applyNumberFormat="1" applyFont="1" applyFill="1" applyBorder="1" applyAlignment="1">
      <alignment horizontal="right"/>
    </xf>
    <xf numFmtId="168" fontId="10" fillId="19" borderId="28" xfId="0" applyNumberFormat="1" applyFont="1" applyFill="1" applyBorder="1" applyAlignment="1">
      <alignment horizontal="right"/>
    </xf>
    <xf numFmtId="168" fontId="10" fillId="19" borderId="9" xfId="0" applyNumberFormat="1" applyFont="1" applyFill="1" applyBorder="1" applyAlignment="1">
      <alignment horizontal="right"/>
    </xf>
    <xf numFmtId="168" fontId="17" fillId="19" borderId="6" xfId="0" applyNumberFormat="1" applyFont="1" applyFill="1" applyBorder="1" applyAlignment="1">
      <alignment horizontal="right"/>
    </xf>
    <xf numFmtId="168" fontId="17" fillId="19" borderId="28" xfId="0" applyNumberFormat="1" applyFont="1" applyFill="1" applyBorder="1" applyAlignment="1">
      <alignment horizontal="right"/>
    </xf>
    <xf numFmtId="168" fontId="17" fillId="19" borderId="9" xfId="0" applyNumberFormat="1" applyFont="1" applyFill="1" applyBorder="1" applyAlignment="1">
      <alignment horizontal="right"/>
    </xf>
    <xf numFmtId="164" fontId="17" fillId="19" borderId="6" xfId="0" applyNumberFormat="1" applyFont="1" applyFill="1" applyBorder="1" applyAlignment="1">
      <alignment horizontal="right"/>
    </xf>
    <xf numFmtId="164" fontId="17" fillId="19" borderId="28" xfId="0" applyNumberFormat="1" applyFont="1" applyFill="1" applyBorder="1" applyAlignment="1">
      <alignment horizontal="right"/>
    </xf>
    <xf numFmtId="164" fontId="17" fillId="19" borderId="9" xfId="0" applyNumberFormat="1" applyFont="1" applyFill="1" applyBorder="1" applyAlignment="1">
      <alignment horizontal="right"/>
    </xf>
    <xf numFmtId="168" fontId="10" fillId="17" borderId="26" xfId="0" applyNumberFormat="1" applyFont="1" applyFill="1" applyBorder="1" applyAlignment="1">
      <alignment horizontal="right"/>
    </xf>
    <xf numFmtId="168" fontId="10" fillId="17" borderId="24" xfId="0" applyNumberFormat="1" applyFont="1" applyFill="1" applyBorder="1" applyAlignment="1">
      <alignment horizontal="right"/>
    </xf>
    <xf numFmtId="168" fontId="10" fillId="17" borderId="25" xfId="0" applyNumberFormat="1" applyFont="1" applyFill="1" applyBorder="1" applyAlignment="1">
      <alignment horizontal="right"/>
    </xf>
    <xf numFmtId="164" fontId="17" fillId="17" borderId="26" xfId="0" applyNumberFormat="1" applyFont="1" applyFill="1" applyBorder="1" applyAlignment="1">
      <alignment horizontal="right"/>
    </xf>
    <xf numFmtId="164" fontId="17" fillId="17" borderId="24" xfId="0" applyNumberFormat="1" applyFont="1" applyFill="1" applyBorder="1" applyAlignment="1">
      <alignment horizontal="right"/>
    </xf>
    <xf numFmtId="168" fontId="17" fillId="17" borderId="24" xfId="0" applyNumberFormat="1" applyFont="1" applyFill="1" applyBorder="1" applyAlignment="1">
      <alignment horizontal="right"/>
    </xf>
    <xf numFmtId="168" fontId="17" fillId="17" borderId="25" xfId="0" applyNumberFormat="1" applyFont="1" applyFill="1" applyBorder="1" applyAlignment="1">
      <alignment horizontal="right"/>
    </xf>
    <xf numFmtId="168" fontId="10" fillId="17" borderId="27" xfId="0" applyNumberFormat="1" applyFont="1" applyFill="1" applyBorder="1" applyAlignment="1">
      <alignment horizontal="right"/>
    </xf>
    <xf numFmtId="168" fontId="17" fillId="17" borderId="27" xfId="0" applyNumberFormat="1" applyFont="1" applyFill="1" applyBorder="1" applyAlignment="1">
      <alignment horizontal="right"/>
    </xf>
    <xf numFmtId="168" fontId="10" fillId="17" borderId="6" xfId="0" applyNumberFormat="1" applyFont="1" applyFill="1" applyBorder="1" applyAlignment="1">
      <alignment horizontal="right"/>
    </xf>
    <xf numFmtId="168" fontId="10" fillId="17" borderId="28" xfId="0" applyNumberFormat="1" applyFont="1" applyFill="1" applyBorder="1" applyAlignment="1">
      <alignment horizontal="right"/>
    </xf>
    <xf numFmtId="168" fontId="10" fillId="17" borderId="9" xfId="0" applyNumberFormat="1" applyFont="1" applyFill="1" applyBorder="1" applyAlignment="1">
      <alignment horizontal="right"/>
    </xf>
    <xf numFmtId="168" fontId="17" fillId="17" borderId="6" xfId="0" applyNumberFormat="1" applyFont="1" applyFill="1" applyBorder="1" applyAlignment="1">
      <alignment horizontal="right"/>
    </xf>
    <xf numFmtId="168" fontId="17" fillId="17" borderId="28" xfId="0" applyNumberFormat="1" applyFont="1" applyFill="1" applyBorder="1" applyAlignment="1">
      <alignment horizontal="right"/>
    </xf>
    <xf numFmtId="168" fontId="17" fillId="17" borderId="9" xfId="0" applyNumberFormat="1" applyFont="1" applyFill="1" applyBorder="1" applyAlignment="1">
      <alignment horizontal="right"/>
    </xf>
    <xf numFmtId="168" fontId="10" fillId="16" borderId="21" xfId="0" applyNumberFormat="1" applyFont="1" applyFill="1" applyBorder="1" applyAlignment="1">
      <alignment horizontal="right"/>
    </xf>
    <xf numFmtId="168" fontId="10" fillId="16" borderId="22" xfId="0" applyNumberFormat="1" applyFont="1" applyFill="1" applyBorder="1" applyAlignment="1">
      <alignment horizontal="right"/>
    </xf>
    <xf numFmtId="168" fontId="10" fillId="16" borderId="30" xfId="0" applyNumberFormat="1" applyFont="1" applyFill="1" applyBorder="1" applyAlignment="1">
      <alignment horizontal="right"/>
    </xf>
    <xf numFmtId="168" fontId="31" fillId="0" borderId="55" xfId="0" applyNumberFormat="1" applyFont="1" applyFill="1" applyBorder="1" applyAlignment="1">
      <alignment horizontal="right"/>
    </xf>
    <xf numFmtId="168" fontId="17" fillId="16" borderId="21" xfId="0" applyNumberFormat="1" applyFont="1" applyFill="1" applyBorder="1" applyAlignment="1">
      <alignment horizontal="right"/>
    </xf>
    <xf numFmtId="168" fontId="17" fillId="16" borderId="22" xfId="0" applyNumberFormat="1" applyFont="1" applyFill="1" applyBorder="1" applyAlignment="1">
      <alignment horizontal="right"/>
    </xf>
    <xf numFmtId="168" fontId="17" fillId="16" borderId="30" xfId="0" applyNumberFormat="1" applyFont="1" applyFill="1" applyBorder="1" applyAlignment="1">
      <alignment horizontal="right"/>
    </xf>
    <xf numFmtId="168" fontId="10" fillId="16" borderId="23" xfId="0" applyNumberFormat="1" applyFont="1" applyFill="1" applyBorder="1" applyAlignment="1">
      <alignment horizontal="right"/>
    </xf>
    <xf numFmtId="168" fontId="10" fillId="16" borderId="31" xfId="0" applyNumberFormat="1" applyFont="1" applyFill="1" applyBorder="1" applyAlignment="1">
      <alignment horizontal="right"/>
    </xf>
    <xf numFmtId="168" fontId="10" fillId="16" borderId="43" xfId="0" applyNumberFormat="1" applyFont="1" applyFill="1" applyBorder="1" applyAlignment="1">
      <alignment horizontal="right"/>
    </xf>
    <xf numFmtId="168" fontId="10" fillId="16" borderId="10" xfId="0" applyNumberFormat="1" applyFont="1" applyFill="1" applyBorder="1" applyAlignment="1">
      <alignment horizontal="right"/>
    </xf>
    <xf numFmtId="168" fontId="31" fillId="0" borderId="51" xfId="0" applyNumberFormat="1" applyFont="1" applyFill="1" applyBorder="1" applyAlignment="1">
      <alignment horizontal="right"/>
    </xf>
    <xf numFmtId="168" fontId="17" fillId="16" borderId="23" xfId="0" applyNumberFormat="1" applyFont="1" applyFill="1" applyBorder="1" applyAlignment="1">
      <alignment horizontal="right"/>
    </xf>
    <xf numFmtId="168" fontId="17" fillId="16" borderId="31" xfId="0" applyNumberFormat="1" applyFont="1" applyFill="1" applyBorder="1" applyAlignment="1">
      <alignment horizontal="right"/>
    </xf>
    <xf numFmtId="168" fontId="17" fillId="16" borderId="43" xfId="0" applyNumberFormat="1" applyFont="1" applyFill="1" applyBorder="1" applyAlignment="1">
      <alignment horizontal="right"/>
    </xf>
    <xf numFmtId="168" fontId="10" fillId="16" borderId="6" xfId="0" applyNumberFormat="1" applyFont="1" applyFill="1" applyBorder="1" applyAlignment="1">
      <alignment horizontal="right"/>
    </xf>
    <xf numFmtId="168" fontId="10" fillId="16" borderId="28" xfId="0" applyNumberFormat="1" applyFont="1" applyFill="1" applyBorder="1" applyAlignment="1">
      <alignment horizontal="right"/>
    </xf>
    <xf numFmtId="168" fontId="10" fillId="16" borderId="9" xfId="0" applyNumberFormat="1" applyFont="1" applyFill="1" applyBorder="1" applyAlignment="1">
      <alignment horizontal="right"/>
    </xf>
    <xf numFmtId="168" fontId="17" fillId="16" borderId="6" xfId="0" applyNumberFormat="1" applyFont="1" applyFill="1" applyBorder="1" applyAlignment="1">
      <alignment horizontal="right"/>
    </xf>
    <xf numFmtId="168" fontId="17" fillId="16" borderId="28" xfId="0" applyNumberFormat="1" applyFont="1" applyFill="1" applyBorder="1" applyAlignment="1">
      <alignment horizontal="right"/>
    </xf>
    <xf numFmtId="168" fontId="17" fillId="16" borderId="9" xfId="0" applyNumberFormat="1" applyFont="1" applyFill="1" applyBorder="1" applyAlignment="1">
      <alignment horizontal="right"/>
    </xf>
    <xf numFmtId="168" fontId="10" fillId="16" borderId="44" xfId="0" applyNumberFormat="1" applyFont="1" applyFill="1" applyBorder="1" applyAlignment="1">
      <alignment horizontal="right"/>
    </xf>
    <xf numFmtId="168" fontId="10" fillId="16" borderId="55" xfId="0" applyNumberFormat="1" applyFont="1" applyFill="1" applyBorder="1" applyAlignment="1">
      <alignment horizontal="right"/>
    </xf>
    <xf numFmtId="168" fontId="31" fillId="0" borderId="60" xfId="0" applyNumberFormat="1" applyFont="1" applyFill="1" applyBorder="1" applyAlignment="1">
      <alignment horizontal="right"/>
    </xf>
    <xf numFmtId="168" fontId="17" fillId="16" borderId="44" xfId="0" applyNumberFormat="1" applyFont="1" applyFill="1" applyBorder="1" applyAlignment="1">
      <alignment horizontal="right"/>
    </xf>
    <xf numFmtId="168" fontId="17" fillId="16" borderId="55" xfId="0" applyNumberFormat="1" applyFont="1" applyFill="1" applyBorder="1" applyAlignment="1">
      <alignment horizontal="right"/>
    </xf>
    <xf numFmtId="168" fontId="10" fillId="16" borderId="25" xfId="0" applyNumberFormat="1" applyFont="1" applyFill="1" applyBorder="1" applyAlignment="1">
      <alignment horizontal="right"/>
    </xf>
    <xf numFmtId="164" fontId="17" fillId="16" borderId="23" xfId="0" applyNumberFormat="1" applyFont="1" applyFill="1" applyBorder="1" applyAlignment="1">
      <alignment horizontal="right"/>
    </xf>
    <xf numFmtId="164" fontId="17" fillId="16" borderId="31" xfId="0" applyNumberFormat="1" applyFont="1" applyFill="1" applyBorder="1" applyAlignment="1">
      <alignment horizontal="right"/>
    </xf>
    <xf numFmtId="164" fontId="17" fillId="16" borderId="43" xfId="0" applyNumberFormat="1" applyFont="1" applyFill="1" applyBorder="1" applyAlignment="1">
      <alignment horizontal="right"/>
    </xf>
    <xf numFmtId="168" fontId="10" fillId="16" borderId="41" xfId="0" applyNumberFormat="1" applyFont="1" applyFill="1" applyBorder="1" applyAlignment="1">
      <alignment horizontal="right"/>
    </xf>
    <xf numFmtId="168" fontId="10" fillId="16" borderId="37" xfId="0" applyNumberFormat="1" applyFont="1" applyFill="1" applyBorder="1" applyAlignment="1">
      <alignment horizontal="right"/>
    </xf>
    <xf numFmtId="168" fontId="10" fillId="16" borderId="66" xfId="0" applyNumberFormat="1" applyFont="1" applyFill="1" applyBorder="1" applyAlignment="1">
      <alignment horizontal="right"/>
    </xf>
    <xf numFmtId="168" fontId="31" fillId="0" borderId="58" xfId="0" applyNumberFormat="1" applyFont="1" applyFill="1" applyBorder="1" applyAlignment="1">
      <alignment horizontal="right"/>
    </xf>
    <xf numFmtId="164" fontId="17" fillId="16" borderId="65" xfId="0" applyNumberFormat="1" applyFont="1" applyFill="1" applyBorder="1" applyAlignment="1">
      <alignment horizontal="right"/>
    </xf>
    <xf numFmtId="164" fontId="17" fillId="16" borderId="37" xfId="0" applyNumberFormat="1" applyFont="1" applyFill="1" applyBorder="1" applyAlignment="1">
      <alignment horizontal="right"/>
    </xf>
    <xf numFmtId="168" fontId="17" fillId="16" borderId="37" xfId="0" applyNumberFormat="1" applyFont="1" applyFill="1" applyBorder="1" applyAlignment="1">
      <alignment horizontal="right"/>
    </xf>
    <xf numFmtId="164" fontId="17" fillId="16" borderId="41" xfId="0" applyNumberFormat="1" applyFont="1" applyFill="1" applyBorder="1" applyAlignment="1">
      <alignment horizontal="right"/>
    </xf>
    <xf numFmtId="168" fontId="10" fillId="16" borderId="70" xfId="0" applyNumberFormat="1" applyFont="1" applyFill="1" applyBorder="1" applyAlignment="1">
      <alignment horizontal="right"/>
    </xf>
    <xf numFmtId="168" fontId="10" fillId="16" borderId="67" xfId="0" applyNumberFormat="1" applyFont="1" applyFill="1" applyBorder="1" applyAlignment="1">
      <alignment horizontal="right"/>
    </xf>
    <xf numFmtId="168" fontId="31" fillId="0" borderId="57" xfId="0" applyNumberFormat="1" applyFont="1" applyFill="1" applyBorder="1" applyAlignment="1">
      <alignment horizontal="right"/>
    </xf>
    <xf numFmtId="168" fontId="17" fillId="16" borderId="63" xfId="0" applyNumberFormat="1" applyFont="1" applyFill="1" applyBorder="1" applyAlignment="1">
      <alignment horizontal="right"/>
    </xf>
    <xf numFmtId="168" fontId="17" fillId="16" borderId="7" xfId="0" applyNumberFormat="1" applyFont="1" applyFill="1" applyBorder="1" applyAlignment="1">
      <alignment horizontal="right"/>
    </xf>
    <xf numFmtId="168" fontId="10" fillId="16" borderId="7" xfId="0" applyNumberFormat="1" applyFont="1" applyFill="1" applyBorder="1" applyAlignment="1">
      <alignment horizontal="right"/>
    </xf>
    <xf numFmtId="168" fontId="10" fillId="13" borderId="5" xfId="0" applyNumberFormat="1" applyFont="1" applyFill="1" applyBorder="1" applyAlignment="1">
      <alignment horizontal="right"/>
    </xf>
    <xf numFmtId="168" fontId="10" fillId="13" borderId="11" xfId="0" applyNumberFormat="1" applyFont="1" applyFill="1" applyBorder="1" applyAlignment="1">
      <alignment horizontal="right"/>
    </xf>
    <xf numFmtId="168" fontId="10" fillId="13" borderId="13" xfId="0" applyNumberFormat="1" applyFont="1" applyFill="1" applyBorder="1" applyAlignment="1">
      <alignment horizontal="right"/>
    </xf>
    <xf numFmtId="168" fontId="31" fillId="0" borderId="52" xfId="0" applyNumberFormat="1" applyFont="1" applyFill="1" applyBorder="1" applyAlignment="1">
      <alignment horizontal="right"/>
    </xf>
    <xf numFmtId="168" fontId="17" fillId="13" borderId="15" xfId="0" applyNumberFormat="1" applyFont="1" applyFill="1" applyBorder="1" applyAlignment="1">
      <alignment horizontal="right"/>
    </xf>
    <xf numFmtId="168" fontId="17" fillId="13" borderId="11" xfId="0" applyNumberFormat="1" applyFont="1" applyFill="1" applyBorder="1" applyAlignment="1">
      <alignment horizontal="right"/>
    </xf>
    <xf numFmtId="168" fontId="17" fillId="13" borderId="8" xfId="0" applyNumberFormat="1" applyFont="1" applyFill="1" applyBorder="1" applyAlignment="1">
      <alignment horizontal="right"/>
    </xf>
    <xf numFmtId="168" fontId="17" fillId="13" borderId="5" xfId="0" applyNumberFormat="1" applyFont="1" applyFill="1" applyBorder="1" applyAlignment="1">
      <alignment horizontal="right"/>
    </xf>
    <xf numFmtId="168" fontId="10" fillId="13" borderId="8" xfId="0" applyNumberFormat="1" applyFont="1" applyFill="1" applyBorder="1" applyAlignment="1">
      <alignment horizontal="right"/>
    </xf>
    <xf numFmtId="168" fontId="10" fillId="16" borderId="15" xfId="0" applyNumberFormat="1" applyFont="1" applyFill="1" applyBorder="1" applyAlignment="1">
      <alignment horizontal="right"/>
    </xf>
    <xf numFmtId="168" fontId="10" fillId="16" borderId="11" xfId="0" applyNumberFormat="1" applyFont="1" applyFill="1" applyBorder="1" applyAlignment="1">
      <alignment horizontal="right"/>
    </xf>
    <xf numFmtId="168" fontId="10" fillId="16" borderId="13" xfId="0" applyNumberFormat="1" applyFont="1" applyFill="1" applyBorder="1" applyAlignment="1">
      <alignment horizontal="right"/>
    </xf>
    <xf numFmtId="168" fontId="0" fillId="16" borderId="15" xfId="0" applyNumberFormat="1" applyFill="1" applyBorder="1" applyAlignment="1">
      <alignment horizontal="right"/>
    </xf>
    <xf numFmtId="168" fontId="17" fillId="16" borderId="11" xfId="0" applyNumberFormat="1" applyFont="1" applyFill="1" applyBorder="1" applyAlignment="1">
      <alignment horizontal="right"/>
    </xf>
    <xf numFmtId="168" fontId="17" fillId="16" borderId="8" xfId="0" applyNumberFormat="1" applyFont="1" applyFill="1" applyBorder="1" applyAlignment="1">
      <alignment horizontal="right"/>
    </xf>
    <xf numFmtId="168" fontId="10" fillId="16" borderId="8" xfId="0" applyNumberFormat="1" applyFont="1" applyFill="1" applyBorder="1" applyAlignment="1">
      <alignment horizontal="right"/>
    </xf>
    <xf numFmtId="168" fontId="10" fillId="15" borderId="6" xfId="0" applyNumberFormat="1" applyFont="1" applyFill="1" applyBorder="1" applyAlignment="1">
      <alignment horizontal="right"/>
    </xf>
    <xf numFmtId="168" fontId="10" fillId="15" borderId="11" xfId="0" applyNumberFormat="1" applyFont="1" applyFill="1" applyBorder="1" applyAlignment="1">
      <alignment horizontal="right"/>
    </xf>
    <xf numFmtId="168" fontId="10" fillId="15" borderId="13" xfId="0" applyNumberFormat="1" applyFont="1" applyFill="1" applyBorder="1" applyAlignment="1">
      <alignment horizontal="right"/>
    </xf>
    <xf numFmtId="168" fontId="31" fillId="0" borderId="50" xfId="0" applyNumberFormat="1" applyFont="1" applyFill="1" applyBorder="1" applyAlignment="1">
      <alignment horizontal="right"/>
    </xf>
    <xf numFmtId="168" fontId="17" fillId="15" borderId="64" xfId="0" applyNumberFormat="1" applyFont="1" applyFill="1" applyBorder="1" applyAlignment="1">
      <alignment horizontal="right"/>
    </xf>
    <xf numFmtId="168" fontId="17" fillId="15" borderId="11" xfId="0" applyNumberFormat="1" applyFont="1" applyFill="1" applyBorder="1" applyAlignment="1">
      <alignment horizontal="right"/>
    </xf>
    <xf numFmtId="168" fontId="17" fillId="15" borderId="8" xfId="0" applyNumberFormat="1" applyFont="1" applyFill="1" applyBorder="1" applyAlignment="1">
      <alignment horizontal="right"/>
    </xf>
    <xf numFmtId="168" fontId="17" fillId="15" borderId="6" xfId="0" applyNumberFormat="1" applyFont="1" applyFill="1" applyBorder="1" applyAlignment="1">
      <alignment horizontal="right"/>
    </xf>
    <xf numFmtId="168" fontId="17" fillId="16" borderId="25" xfId="0" applyNumberFormat="1" applyFont="1" applyFill="1" applyBorder="1" applyAlignment="1">
      <alignment horizontal="right"/>
    </xf>
    <xf numFmtId="0" fontId="10" fillId="2" borderId="18" xfId="0" applyFont="1" applyFill="1" applyBorder="1" applyAlignment="1"/>
    <xf numFmtId="0" fontId="11" fillId="2" borderId="14" xfId="0" applyFont="1" applyFill="1" applyBorder="1"/>
    <xf numFmtId="0" fontId="19" fillId="3" borderId="14" xfId="0" applyFont="1" applyFill="1" applyBorder="1"/>
    <xf numFmtId="0" fontId="19" fillId="4" borderId="14" xfId="0" applyFont="1" applyFill="1" applyBorder="1"/>
    <xf numFmtId="0" fontId="19" fillId="5" borderId="14" xfId="0" applyFont="1" applyFill="1" applyBorder="1"/>
    <xf numFmtId="0" fontId="19" fillId="6" borderId="14" xfId="0" applyFont="1" applyFill="1" applyBorder="1"/>
    <xf numFmtId="0" fontId="19" fillId="14" borderId="34" xfId="0" applyFont="1" applyFill="1" applyBorder="1"/>
    <xf numFmtId="0" fontId="19" fillId="13" borderId="34" xfId="0" applyFont="1" applyFill="1" applyBorder="1" applyAlignment="1">
      <alignment horizontal="center"/>
    </xf>
    <xf numFmtId="0" fontId="19" fillId="7" borderId="61" xfId="0" applyFont="1" applyFill="1" applyBorder="1"/>
    <xf numFmtId="0" fontId="10" fillId="2" borderId="7" xfId="10" applyFont="1" applyFill="1" applyBorder="1" applyAlignment="1"/>
    <xf numFmtId="0" fontId="10" fillId="3" borderId="34" xfId="0" applyFont="1" applyFill="1" applyBorder="1" applyAlignment="1"/>
    <xf numFmtId="0" fontId="0" fillId="3" borderId="34" xfId="0" applyFill="1" applyBorder="1" applyAlignment="1"/>
    <xf numFmtId="0" fontId="6" fillId="2" borderId="0" xfId="0" applyFont="1" applyFill="1" applyBorder="1" applyAlignment="1">
      <alignment vertical="top" wrapText="1"/>
    </xf>
    <xf numFmtId="0" fontId="31" fillId="2" borderId="10" xfId="0" applyFont="1" applyFill="1" applyBorder="1" applyAlignment="1">
      <alignment vertical="top" wrapText="1"/>
    </xf>
    <xf numFmtId="0" fontId="31" fillId="2" borderId="0" xfId="0" applyFont="1" applyFill="1" applyBorder="1" applyAlignment="1">
      <alignment vertical="top" wrapText="1"/>
    </xf>
    <xf numFmtId="2" fontId="31" fillId="2" borderId="46" xfId="0" applyNumberFormat="1" applyFont="1" applyFill="1" applyBorder="1" applyAlignment="1">
      <alignment wrapText="1"/>
    </xf>
    <xf numFmtId="0" fontId="31" fillId="12" borderId="18" xfId="0" applyFont="1" applyFill="1" applyBorder="1" applyAlignment="1"/>
    <xf numFmtId="0" fontId="31" fillId="12" borderId="55" xfId="0" applyFont="1" applyFill="1" applyBorder="1" applyAlignment="1"/>
    <xf numFmtId="0" fontId="10" fillId="2" borderId="4" xfId="10" applyFont="1" applyFill="1" applyBorder="1" applyAlignment="1"/>
    <xf numFmtId="0" fontId="0" fillId="2" borderId="6" xfId="0" applyFill="1" applyBorder="1" applyAlignment="1"/>
    <xf numFmtId="2" fontId="0" fillId="0" borderId="0" xfId="0" applyNumberFormat="1"/>
    <xf numFmtId="0" fontId="7" fillId="0" borderId="0" xfId="1" applyAlignment="1" applyProtection="1"/>
    <xf numFmtId="0" fontId="10" fillId="0" borderId="0" xfId="0" applyFont="1" applyAlignment="1">
      <alignment vertical="center" wrapText="1"/>
    </xf>
    <xf numFmtId="169" fontId="0" fillId="0" borderId="0" xfId="0" applyNumberFormat="1"/>
    <xf numFmtId="169" fontId="8" fillId="0" borderId="0" xfId="0" applyNumberFormat="1" applyFont="1" applyAlignment="1">
      <alignment wrapText="1"/>
    </xf>
    <xf numFmtId="2" fontId="8" fillId="0" borderId="0" xfId="0" applyNumberFormat="1" applyFont="1" applyAlignment="1">
      <alignment wrapText="1"/>
    </xf>
    <xf numFmtId="2" fontId="10" fillId="0" borderId="0" xfId="0" applyNumberFormat="1" applyFont="1"/>
    <xf numFmtId="169" fontId="10" fillId="0" borderId="0" xfId="0" applyNumberFormat="1" applyFont="1"/>
    <xf numFmtId="0" fontId="6" fillId="0" borderId="53" xfId="0" applyFont="1" applyFill="1" applyBorder="1" applyAlignment="1"/>
    <xf numFmtId="2" fontId="6" fillId="0" borderId="53" xfId="0" applyNumberFormat="1" applyFont="1" applyFill="1" applyBorder="1" applyAlignment="1">
      <alignment horizontal="center"/>
    </xf>
    <xf numFmtId="0" fontId="6" fillId="0" borderId="14" xfId="0" applyFont="1" applyFill="1" applyBorder="1" applyAlignment="1"/>
    <xf numFmtId="2" fontId="6" fillId="0" borderId="14" xfId="0" applyNumberFormat="1" applyFont="1" applyFill="1" applyBorder="1" applyAlignment="1">
      <alignment horizontal="center"/>
    </xf>
    <xf numFmtId="0" fontId="6" fillId="0" borderId="61" xfId="0" applyFont="1" applyFill="1" applyBorder="1" applyAlignment="1"/>
    <xf numFmtId="2" fontId="6" fillId="0" borderId="61" xfId="0" applyNumberFormat="1" applyFont="1" applyFill="1" applyBorder="1" applyAlignment="1">
      <alignment horizontal="center"/>
    </xf>
    <xf numFmtId="0" fontId="6" fillId="0" borderId="34" xfId="0" applyFont="1" applyFill="1" applyBorder="1" applyAlignment="1"/>
    <xf numFmtId="2" fontId="6" fillId="0" borderId="34" xfId="0" applyNumberFormat="1" applyFont="1" applyFill="1" applyBorder="1" applyAlignment="1">
      <alignment horizontal="center"/>
    </xf>
    <xf numFmtId="0" fontId="10" fillId="20" borderId="69" xfId="0" applyFont="1" applyFill="1" applyBorder="1" applyAlignment="1"/>
    <xf numFmtId="0" fontId="0" fillId="21" borderId="14" xfId="0" applyFill="1" applyBorder="1" applyAlignment="1">
      <alignment horizontal="center"/>
    </xf>
    <xf numFmtId="0" fontId="0" fillId="21" borderId="53" xfId="0" applyFill="1" applyBorder="1" applyAlignment="1">
      <alignment horizontal="center"/>
    </xf>
    <xf numFmtId="0" fontId="0" fillId="21" borderId="61" xfId="0" applyFill="1" applyBorder="1" applyAlignment="1">
      <alignment horizontal="center"/>
    </xf>
    <xf numFmtId="0" fontId="0" fillId="21" borderId="46" xfId="0" applyFill="1" applyBorder="1" applyAlignment="1">
      <alignment horizontal="center"/>
    </xf>
    <xf numFmtId="2" fontId="8" fillId="21" borderId="49" xfId="0" applyNumberFormat="1" applyFont="1" applyFill="1" applyBorder="1" applyAlignment="1">
      <alignment horizontal="center"/>
    </xf>
    <xf numFmtId="0" fontId="0" fillId="21" borderId="34" xfId="0" applyFill="1" applyBorder="1" applyAlignment="1">
      <alignment horizontal="center"/>
    </xf>
    <xf numFmtId="0" fontId="0" fillId="21" borderId="16" xfId="0" applyFill="1" applyBorder="1" applyAlignment="1">
      <alignment horizontal="center"/>
    </xf>
    <xf numFmtId="0" fontId="0" fillId="21" borderId="14" xfId="0" applyFill="1" applyBorder="1" applyAlignment="1">
      <alignment horizontal="center"/>
    </xf>
    <xf numFmtId="0" fontId="0" fillId="21" borderId="61" xfId="0" applyFill="1" applyBorder="1" applyAlignment="1">
      <alignment horizontal="center"/>
    </xf>
    <xf numFmtId="0" fontId="0" fillId="21" borderId="53" xfId="0" applyFill="1" applyBorder="1" applyAlignment="1">
      <alignment horizontal="center"/>
    </xf>
    <xf numFmtId="0" fontId="6" fillId="0" borderId="72" xfId="0" applyFont="1" applyFill="1" applyBorder="1" applyAlignment="1"/>
    <xf numFmtId="2" fontId="8" fillId="21" borderId="73" xfId="0" applyNumberFormat="1" applyFont="1" applyFill="1" applyBorder="1" applyAlignment="1">
      <alignment horizontal="center"/>
    </xf>
    <xf numFmtId="0" fontId="0" fillId="21" borderId="72" xfId="0" applyFill="1" applyBorder="1" applyAlignment="1">
      <alignment horizontal="center"/>
    </xf>
    <xf numFmtId="0" fontId="0" fillId="21" borderId="74" xfId="0" applyFill="1" applyBorder="1" applyAlignment="1">
      <alignment horizontal="center"/>
    </xf>
    <xf numFmtId="2" fontId="6" fillId="0" borderId="72" xfId="0" applyNumberFormat="1" applyFont="1" applyFill="1" applyBorder="1" applyAlignment="1">
      <alignment horizontal="center"/>
    </xf>
    <xf numFmtId="2" fontId="0" fillId="21" borderId="14" xfId="0" applyNumberFormat="1" applyFill="1" applyBorder="1" applyAlignment="1">
      <alignment horizontal="center"/>
    </xf>
    <xf numFmtId="0" fontId="0" fillId="21" borderId="73" xfId="0" applyFill="1" applyBorder="1" applyAlignment="1">
      <alignment horizontal="left"/>
    </xf>
    <xf numFmtId="0" fontId="0" fillId="21" borderId="17" xfId="0" applyFill="1" applyBorder="1" applyAlignment="1">
      <alignment horizontal="left"/>
    </xf>
    <xf numFmtId="0" fontId="0" fillId="21" borderId="59" xfId="0" applyFill="1" applyBorder="1" applyAlignment="1">
      <alignment horizontal="left"/>
    </xf>
    <xf numFmtId="10" fontId="0" fillId="21" borderId="61" xfId="0" applyNumberFormat="1" applyFill="1" applyBorder="1" applyAlignment="1">
      <alignment horizontal="center"/>
    </xf>
    <xf numFmtId="10" fontId="0" fillId="0" borderId="62" xfId="0" applyNumberFormat="1" applyBorder="1" applyAlignment="1">
      <alignment horizontal="center"/>
    </xf>
    <xf numFmtId="10" fontId="0" fillId="21" borderId="53" xfId="0" applyNumberFormat="1" applyFill="1" applyBorder="1" applyAlignment="1">
      <alignment horizontal="center"/>
    </xf>
    <xf numFmtId="0" fontId="0" fillId="0" borderId="53" xfId="0" applyBorder="1" applyAlignment="1">
      <alignment horizontal="center"/>
    </xf>
    <xf numFmtId="10" fontId="0" fillId="21" borderId="14" xfId="0" applyNumberFormat="1" applyFill="1" applyBorder="1" applyAlignment="1">
      <alignment horizontal="center"/>
    </xf>
    <xf numFmtId="0" fontId="0" fillId="0" borderId="14" xfId="0" applyBorder="1" applyAlignment="1">
      <alignment horizontal="center"/>
    </xf>
    <xf numFmtId="2" fontId="6" fillId="3" borderId="20" xfId="0" applyNumberFormat="1" applyFont="1" applyFill="1" applyBorder="1" applyAlignment="1">
      <alignment vertical="center"/>
    </xf>
    <xf numFmtId="0" fontId="31" fillId="0" borderId="10" xfId="0" applyFont="1" applyBorder="1" applyAlignment="1">
      <alignment vertical="center"/>
    </xf>
    <xf numFmtId="0" fontId="31" fillId="0" borderId="19" xfId="0" applyFont="1" applyBorder="1" applyAlignment="1">
      <alignment vertical="center"/>
    </xf>
    <xf numFmtId="0" fontId="31" fillId="0" borderId="32" xfId="0" applyFont="1" applyBorder="1" applyAlignment="1">
      <alignment vertical="center"/>
    </xf>
    <xf numFmtId="0" fontId="31" fillId="0" borderId="46" xfId="0" applyFont="1" applyBorder="1" applyAlignment="1">
      <alignment vertical="center"/>
    </xf>
    <xf numFmtId="0" fontId="31" fillId="0" borderId="47" xfId="0" applyFont="1" applyBorder="1" applyAlignment="1">
      <alignment vertical="center"/>
    </xf>
    <xf numFmtId="0" fontId="31" fillId="0" borderId="12" xfId="0" applyFont="1" applyBorder="1" applyAlignment="1">
      <alignment vertical="center"/>
    </xf>
    <xf numFmtId="0" fontId="31" fillId="0" borderId="0" xfId="0" applyFont="1" applyAlignment="1">
      <alignment vertical="center"/>
    </xf>
    <xf numFmtId="0" fontId="31" fillId="0" borderId="35" xfId="0" applyFont="1" applyBorder="1" applyAlignment="1">
      <alignment vertical="center"/>
    </xf>
    <xf numFmtId="0" fontId="2" fillId="4" borderId="5"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4" borderId="6" xfId="0" applyFont="1" applyFill="1" applyBorder="1" applyAlignment="1" applyProtection="1">
      <alignment horizontal="center"/>
      <protection locked="0"/>
    </xf>
    <xf numFmtId="0" fontId="2" fillId="4" borderId="28"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5" borderId="17" xfId="0" applyFont="1" applyFill="1" applyBorder="1" applyAlignment="1">
      <alignment horizontal="center" wrapText="1"/>
    </xf>
    <xf numFmtId="0" fontId="2" fillId="5" borderId="53" xfId="0" applyFont="1" applyFill="1" applyBorder="1" applyAlignment="1">
      <alignment horizontal="center" wrapText="1"/>
    </xf>
    <xf numFmtId="0" fontId="0" fillId="0" borderId="53" xfId="0" applyBorder="1" applyAlignment="1"/>
    <xf numFmtId="0" fontId="0" fillId="0" borderId="54" xfId="0" applyBorder="1" applyAlignment="1"/>
    <xf numFmtId="2" fontId="17" fillId="6" borderId="33" xfId="0" applyNumberFormat="1" applyFont="1" applyFill="1" applyBorder="1" applyAlignment="1" applyProtection="1">
      <alignment horizontal="center"/>
      <protection locked="0"/>
    </xf>
    <xf numFmtId="2" fontId="17" fillId="6" borderId="14" xfId="0" applyNumberFormat="1" applyFont="1" applyFill="1" applyBorder="1" applyAlignment="1" applyProtection="1">
      <alignment horizontal="center"/>
      <protection locked="0"/>
    </xf>
    <xf numFmtId="2" fontId="17" fillId="6" borderId="56" xfId="0" applyNumberFormat="1" applyFont="1" applyFill="1" applyBorder="1" applyAlignment="1" applyProtection="1">
      <alignment horizontal="center"/>
      <protection locked="0"/>
    </xf>
    <xf numFmtId="2" fontId="17" fillId="6" borderId="40" xfId="0" applyNumberFormat="1" applyFont="1" applyFill="1" applyBorder="1" applyAlignment="1" applyProtection="1">
      <alignment horizontal="center"/>
      <protection locked="0"/>
    </xf>
    <xf numFmtId="2" fontId="17" fillId="6" borderId="42" xfId="0" applyNumberFormat="1" applyFont="1" applyFill="1" applyBorder="1" applyAlignment="1" applyProtection="1">
      <alignment horizontal="center"/>
      <protection locked="0"/>
    </xf>
    <xf numFmtId="2" fontId="17" fillId="6" borderId="36" xfId="0" applyNumberFormat="1" applyFont="1" applyFill="1" applyBorder="1" applyAlignment="1" applyProtection="1">
      <alignment horizontal="center"/>
      <protection locked="0"/>
    </xf>
    <xf numFmtId="2" fontId="17" fillId="6" borderId="45" xfId="0" applyNumberFormat="1" applyFont="1" applyFill="1" applyBorder="1" applyAlignment="1" applyProtection="1">
      <alignment horizontal="center"/>
      <protection locked="0"/>
    </xf>
    <xf numFmtId="2" fontId="17" fillId="6" borderId="5" xfId="0" applyNumberFormat="1" applyFont="1" applyFill="1" applyBorder="1" applyAlignment="1" applyProtection="1">
      <alignment horizontal="center"/>
      <protection locked="0"/>
    </xf>
    <xf numFmtId="2" fontId="17" fillId="6" borderId="15" xfId="0" applyNumberFormat="1" applyFont="1" applyFill="1" applyBorder="1" applyAlignment="1" applyProtection="1">
      <alignment horizontal="center"/>
      <protection locked="0"/>
    </xf>
    <xf numFmtId="2" fontId="17" fillId="6" borderId="11" xfId="0" applyNumberFormat="1" applyFont="1" applyFill="1" applyBorder="1" applyAlignment="1" applyProtection="1">
      <alignment horizontal="center"/>
      <protection locked="0"/>
    </xf>
    <xf numFmtId="2" fontId="17" fillId="6" borderId="8" xfId="0" applyNumberFormat="1" applyFont="1" applyFill="1" applyBorder="1" applyAlignment="1" applyProtection="1">
      <alignment horizontal="center"/>
      <protection locked="0"/>
    </xf>
    <xf numFmtId="2" fontId="6" fillId="3" borderId="20" xfId="0" applyNumberFormat="1" applyFont="1" applyFill="1" applyBorder="1" applyAlignment="1">
      <alignment vertical="center" wrapText="1"/>
    </xf>
    <xf numFmtId="0" fontId="6" fillId="12" borderId="18" xfId="0" applyFont="1" applyFill="1" applyBorder="1" applyAlignment="1"/>
    <xf numFmtId="0" fontId="31" fillId="0" borderId="55" xfId="0" applyFont="1" applyBorder="1" applyAlignment="1"/>
    <xf numFmtId="0" fontId="31" fillId="0" borderId="39" xfId="0" applyFont="1" applyBorder="1" applyAlignment="1"/>
    <xf numFmtId="0" fontId="6" fillId="3" borderId="20" xfId="0" applyFont="1" applyFill="1" applyBorder="1" applyAlignment="1">
      <alignment vertical="center"/>
    </xf>
    <xf numFmtId="0" fontId="31" fillId="0" borderId="0" xfId="0" applyFont="1" applyBorder="1" applyAlignment="1">
      <alignment vertical="center"/>
    </xf>
    <xf numFmtId="0" fontId="6" fillId="0" borderId="10" xfId="0" applyFont="1" applyBorder="1" applyAlignment="1">
      <alignment vertical="center"/>
    </xf>
    <xf numFmtId="0" fontId="6" fillId="0" borderId="19"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35" xfId="0" applyFont="1" applyBorder="1" applyAlignment="1">
      <alignment vertical="center"/>
    </xf>
    <xf numFmtId="0" fontId="6" fillId="0" borderId="32"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31" fillId="0" borderId="10" xfId="0" applyFont="1" applyBorder="1" applyAlignment="1"/>
    <xf numFmtId="0" fontId="31" fillId="0" borderId="19" xfId="0" applyFont="1" applyBorder="1" applyAlignment="1"/>
    <xf numFmtId="0" fontId="31" fillId="0" borderId="12" xfId="0" applyFont="1" applyBorder="1" applyAlignment="1"/>
    <xf numFmtId="0" fontId="31" fillId="0" borderId="0" xfId="0" applyFont="1" applyAlignment="1"/>
    <xf numFmtId="0" fontId="31" fillId="0" borderId="35" xfId="0" applyFont="1" applyBorder="1" applyAlignment="1"/>
    <xf numFmtId="0" fontId="31" fillId="0" borderId="32" xfId="0" applyFont="1" applyBorder="1" applyAlignment="1"/>
    <xf numFmtId="0" fontId="31" fillId="0" borderId="46" xfId="0" applyFont="1" applyBorder="1" applyAlignment="1"/>
    <xf numFmtId="0" fontId="31" fillId="0" borderId="47" xfId="0" applyFont="1" applyBorder="1" applyAlignment="1"/>
    <xf numFmtId="0" fontId="6" fillId="3" borderId="20" xfId="0" applyFont="1" applyFill="1" applyBorder="1" applyAlignment="1">
      <alignment vertical="center" wrapText="1"/>
    </xf>
    <xf numFmtId="0" fontId="31" fillId="0" borderId="10" xfId="0" applyFont="1" applyBorder="1" applyAlignment="1">
      <alignment vertical="center" wrapText="1"/>
    </xf>
    <xf numFmtId="0" fontId="31" fillId="0" borderId="19" xfId="0" applyFont="1" applyBorder="1" applyAlignment="1">
      <alignment vertical="center" wrapText="1"/>
    </xf>
    <xf numFmtId="0" fontId="31" fillId="0" borderId="12" xfId="0" applyFont="1" applyBorder="1" applyAlignment="1">
      <alignment vertical="center" wrapText="1"/>
    </xf>
    <xf numFmtId="0" fontId="31" fillId="0" borderId="0" xfId="0" applyFont="1" applyAlignment="1">
      <alignment vertical="center" wrapText="1"/>
    </xf>
    <xf numFmtId="0" fontId="31" fillId="0" borderId="35" xfId="0" applyFont="1" applyBorder="1" applyAlignment="1">
      <alignment vertical="center" wrapText="1"/>
    </xf>
    <xf numFmtId="0" fontId="31" fillId="0" borderId="32"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2" fontId="6" fillId="3" borderId="18" xfId="0" applyNumberFormat="1" applyFont="1" applyFill="1" applyBorder="1" applyAlignment="1">
      <alignment wrapText="1"/>
    </xf>
    <xf numFmtId="0" fontId="31" fillId="0" borderId="55" xfId="0" applyFont="1" applyBorder="1" applyAlignment="1">
      <alignment wrapText="1"/>
    </xf>
    <xf numFmtId="0" fontId="31" fillId="0" borderId="39" xfId="0" applyFont="1" applyBorder="1" applyAlignment="1">
      <alignment wrapText="1"/>
    </xf>
    <xf numFmtId="2" fontId="31" fillId="12" borderId="18" xfId="0" applyNumberFormat="1" applyFont="1" applyFill="1" applyBorder="1" applyAlignment="1"/>
    <xf numFmtId="2" fontId="8" fillId="5" borderId="18" xfId="0" applyNumberFormat="1" applyFont="1" applyFill="1" applyBorder="1" applyAlignment="1">
      <alignment horizontal="center"/>
    </xf>
    <xf numFmtId="2" fontId="8" fillId="5" borderId="55" xfId="0" applyNumberFormat="1" applyFont="1" applyFill="1" applyBorder="1" applyAlignment="1">
      <alignment horizontal="center"/>
    </xf>
    <xf numFmtId="2" fontId="8" fillId="5" borderId="39" xfId="0" applyNumberFormat="1" applyFont="1" applyFill="1" applyBorder="1" applyAlignment="1">
      <alignment horizontal="center"/>
    </xf>
    <xf numFmtId="0" fontId="6" fillId="3" borderId="20" xfId="0" applyFont="1" applyFill="1" applyBorder="1" applyAlignment="1">
      <alignment horizontal="center"/>
    </xf>
    <xf numFmtId="0" fontId="6" fillId="3" borderId="10" xfId="0" applyFont="1" applyFill="1" applyBorder="1" applyAlignment="1">
      <alignment horizontal="center"/>
    </xf>
    <xf numFmtId="0" fontId="0" fillId="0" borderId="10" xfId="0" applyBorder="1" applyAlignment="1">
      <alignment horizontal="center"/>
    </xf>
    <xf numFmtId="0" fontId="0" fillId="0" borderId="19" xfId="0" applyBorder="1" applyAlignment="1">
      <alignment horizontal="center"/>
    </xf>
    <xf numFmtId="2" fontId="17" fillId="4" borderId="33" xfId="0" applyNumberFormat="1" applyFont="1" applyFill="1" applyBorder="1" applyAlignment="1" applyProtection="1">
      <alignment horizontal="center"/>
      <protection locked="0"/>
    </xf>
    <xf numFmtId="0" fontId="0" fillId="0" borderId="56" xfId="0" applyBorder="1" applyAlignment="1">
      <alignment horizontal="center"/>
    </xf>
    <xf numFmtId="2" fontId="17" fillId="4" borderId="49" xfId="0" applyNumberFormat="1" applyFont="1" applyFill="1" applyBorder="1" applyAlignment="1" applyProtection="1">
      <alignment horizontal="center"/>
      <protection locked="0"/>
    </xf>
    <xf numFmtId="0" fontId="0" fillId="0" borderId="34" xfId="0" applyBorder="1" applyAlignment="1">
      <alignment horizontal="center"/>
    </xf>
    <xf numFmtId="0" fontId="0" fillId="0" borderId="16" xfId="0" applyBorder="1" applyAlignment="1">
      <alignment horizontal="center"/>
    </xf>
    <xf numFmtId="2" fontId="17" fillId="4" borderId="59" xfId="0" applyNumberFormat="1" applyFont="1" applyFill="1" applyBorder="1" applyAlignment="1" applyProtection="1">
      <alignment horizontal="center"/>
      <protection locked="0"/>
    </xf>
    <xf numFmtId="2" fontId="17" fillId="4" borderId="61" xfId="0" applyNumberFormat="1" applyFont="1" applyFill="1" applyBorder="1" applyAlignment="1" applyProtection="1">
      <alignment horizontal="center"/>
      <protection locked="0"/>
    </xf>
    <xf numFmtId="0" fontId="0" fillId="0" borderId="61" xfId="0" applyBorder="1" applyAlignment="1">
      <alignment horizontal="center"/>
    </xf>
    <xf numFmtId="0" fontId="0" fillId="0" borderId="62" xfId="0" applyBorder="1" applyAlignment="1">
      <alignment horizontal="center"/>
    </xf>
    <xf numFmtId="9" fontId="10" fillId="2" borderId="0" xfId="0" applyNumberFormat="1" applyFont="1" applyFill="1" applyBorder="1" applyAlignment="1">
      <alignment horizontal="center" wrapText="1"/>
    </xf>
    <xf numFmtId="0" fontId="0" fillId="2" borderId="0" xfId="0" applyFill="1" applyBorder="1" applyAlignment="1"/>
    <xf numFmtId="166" fontId="10" fillId="2" borderId="0" xfId="0" applyNumberFormat="1" applyFont="1" applyFill="1" applyBorder="1" applyAlignment="1">
      <alignment horizontal="center" wrapText="1"/>
    </xf>
    <xf numFmtId="166" fontId="0" fillId="2" borderId="0" xfId="0" applyNumberFormat="1" applyFill="1" applyBorder="1" applyAlignment="1"/>
    <xf numFmtId="2" fontId="3" fillId="2" borderId="0" xfId="0" applyNumberFormat="1" applyFont="1" applyFill="1" applyBorder="1" applyAlignment="1">
      <alignment horizontal="center" wrapText="1"/>
    </xf>
    <xf numFmtId="0" fontId="0" fillId="2" borderId="0" xfId="0" applyFill="1" applyBorder="1" applyAlignment="1">
      <alignment horizontal="center"/>
    </xf>
    <xf numFmtId="9" fontId="10" fillId="2" borderId="0" xfId="6" applyFont="1" applyFill="1" applyBorder="1" applyAlignment="1" applyProtection="1">
      <alignment horizontal="center"/>
      <protection locked="0"/>
    </xf>
    <xf numFmtId="2" fontId="17" fillId="4" borderId="17" xfId="0" applyNumberFormat="1" applyFont="1" applyFill="1" applyBorder="1" applyAlignment="1" applyProtection="1">
      <alignment horizontal="center"/>
      <protection locked="0"/>
    </xf>
    <xf numFmtId="2" fontId="17" fillId="4" borderId="53" xfId="0" applyNumberFormat="1" applyFont="1" applyFill="1" applyBorder="1" applyAlignment="1" applyProtection="1">
      <alignment horizontal="center"/>
      <protection locked="0"/>
    </xf>
    <xf numFmtId="2" fontId="17" fillId="4" borderId="34" xfId="0" applyNumberFormat="1" applyFont="1" applyFill="1" applyBorder="1" applyAlignment="1" applyProtection="1">
      <alignment horizontal="center"/>
      <protection locked="0"/>
    </xf>
    <xf numFmtId="0" fontId="0" fillId="0" borderId="34" xfId="0" applyBorder="1" applyAlignment="1"/>
    <xf numFmtId="0" fontId="0" fillId="0" borderId="16" xfId="0" applyBorder="1" applyAlignment="1"/>
    <xf numFmtId="2" fontId="17" fillId="4" borderId="14" xfId="0" applyNumberFormat="1" applyFont="1" applyFill="1" applyBorder="1" applyAlignment="1" applyProtection="1">
      <alignment horizontal="center"/>
      <protection locked="0"/>
    </xf>
    <xf numFmtId="0" fontId="0" fillId="0" borderId="14" xfId="0" applyBorder="1" applyAlignment="1"/>
    <xf numFmtId="0" fontId="0" fillId="0" borderId="56" xfId="0" applyBorder="1" applyAlignment="1"/>
    <xf numFmtId="2" fontId="17" fillId="4" borderId="20" xfId="0" applyNumberFormat="1" applyFont="1" applyFill="1" applyBorder="1" applyAlignment="1" applyProtection="1">
      <alignment horizontal="center"/>
      <protection locked="0"/>
    </xf>
    <xf numFmtId="2" fontId="17" fillId="4" borderId="10" xfId="0" applyNumberFormat="1" applyFont="1" applyFill="1" applyBorder="1" applyAlignment="1" applyProtection="1">
      <alignment horizontal="center"/>
      <protection locked="0"/>
    </xf>
    <xf numFmtId="9" fontId="0" fillId="4" borderId="4" xfId="0" applyNumberFormat="1" applyFill="1" applyBorder="1" applyAlignment="1">
      <alignment horizontal="center"/>
    </xf>
    <xf numFmtId="9" fontId="0" fillId="4" borderId="38" xfId="0" applyNumberFormat="1" applyFill="1" applyBorder="1" applyAlignment="1">
      <alignment horizontal="center"/>
    </xf>
    <xf numFmtId="0" fontId="0" fillId="0" borderId="38" xfId="0" applyBorder="1" applyAlignment="1">
      <alignment horizontal="center"/>
    </xf>
    <xf numFmtId="0" fontId="0" fillId="0" borderId="7" xfId="0" applyBorder="1" applyAlignment="1">
      <alignment horizontal="center"/>
    </xf>
    <xf numFmtId="0" fontId="2" fillId="4" borderId="4" xfId="0" applyFont="1" applyFill="1" applyBorder="1" applyAlignment="1" applyProtection="1">
      <alignment horizontal="center"/>
      <protection locked="0"/>
    </xf>
    <xf numFmtId="0" fontId="2" fillId="4" borderId="38" xfId="0" applyFont="1" applyFill="1" applyBorder="1" applyAlignment="1" applyProtection="1">
      <alignment horizontal="center"/>
      <protection locked="0"/>
    </xf>
    <xf numFmtId="0" fontId="2" fillId="4" borderId="7" xfId="0" applyFont="1" applyFill="1" applyBorder="1" applyAlignment="1" applyProtection="1">
      <alignment horizontal="center"/>
      <protection locked="0"/>
    </xf>
    <xf numFmtId="9" fontId="0" fillId="4" borderId="59" xfId="0" applyNumberFormat="1" applyFill="1" applyBorder="1" applyAlignment="1">
      <alignment horizontal="center"/>
    </xf>
    <xf numFmtId="9" fontId="0" fillId="4" borderId="4" xfId="0" applyNumberFormat="1" applyFill="1" applyBorder="1" applyAlignment="1" applyProtection="1">
      <alignment horizontal="center"/>
      <protection locked="0"/>
    </xf>
    <xf numFmtId="9" fontId="0" fillId="4" borderId="38" xfId="0" applyNumberFormat="1" applyFill="1" applyBorder="1" applyAlignment="1" applyProtection="1">
      <alignment horizontal="center"/>
      <protection locked="0"/>
    </xf>
    <xf numFmtId="0" fontId="6" fillId="3" borderId="18" xfId="0" applyFont="1" applyFill="1" applyBorder="1" applyAlignment="1">
      <alignment horizontal="center" vertical="top" wrapText="1"/>
    </xf>
    <xf numFmtId="0" fontId="12" fillId="3" borderId="55" xfId="0" applyFont="1" applyFill="1" applyBorder="1" applyAlignment="1">
      <alignment horizontal="center" vertical="top" wrapText="1"/>
    </xf>
    <xf numFmtId="0" fontId="0" fillId="0" borderId="55" xfId="0" applyBorder="1" applyAlignment="1">
      <alignment horizontal="center" vertical="top" wrapText="1"/>
    </xf>
    <xf numFmtId="0" fontId="0" fillId="0" borderId="39" xfId="0" applyBorder="1" applyAlignment="1">
      <alignment horizontal="center" vertical="top" wrapText="1"/>
    </xf>
    <xf numFmtId="0" fontId="6" fillId="3" borderId="18" xfId="0" applyFont="1" applyFill="1" applyBorder="1" applyAlignment="1">
      <alignment horizontal="center"/>
    </xf>
    <xf numFmtId="0" fontId="12" fillId="3" borderId="55" xfId="0" applyFont="1" applyFill="1" applyBorder="1" applyAlignment="1">
      <alignment horizontal="center"/>
    </xf>
    <xf numFmtId="0" fontId="33" fillId="3" borderId="39" xfId="0" applyFont="1" applyFill="1" applyBorder="1" applyAlignment="1">
      <alignment horizontal="center"/>
    </xf>
    <xf numFmtId="0" fontId="0" fillId="3" borderId="18" xfId="0" applyFill="1" applyBorder="1" applyAlignment="1">
      <alignment horizontal="center"/>
    </xf>
    <xf numFmtId="0" fontId="0" fillId="3" borderId="55" xfId="0" applyFill="1" applyBorder="1" applyAlignment="1">
      <alignment horizontal="center"/>
    </xf>
    <xf numFmtId="0" fontId="0" fillId="3" borderId="39" xfId="0" applyFill="1" applyBorder="1" applyAlignment="1">
      <alignment horizontal="center"/>
    </xf>
    <xf numFmtId="0" fontId="0" fillId="0" borderId="39" xfId="0" applyBorder="1" applyAlignment="1">
      <alignment horizontal="center"/>
    </xf>
    <xf numFmtId="0" fontId="12" fillId="3" borderId="18" xfId="0" applyFont="1" applyFill="1" applyBorder="1" applyAlignment="1">
      <alignment horizontal="center"/>
    </xf>
    <xf numFmtId="0" fontId="32" fillId="0" borderId="55" xfId="0" applyFont="1" applyBorder="1"/>
    <xf numFmtId="0" fontId="32" fillId="0" borderId="39" xfId="0" applyFont="1" applyBorder="1"/>
    <xf numFmtId="0" fontId="1" fillId="3" borderId="18"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5" xfId="0" applyFont="1" applyBorder="1" applyAlignment="1"/>
    <xf numFmtId="0" fontId="0" fillId="0" borderId="39" xfId="0" applyBorder="1" applyAlignment="1"/>
    <xf numFmtId="0" fontId="0" fillId="0" borderId="55" xfId="0" applyBorder="1" applyAlignment="1"/>
    <xf numFmtId="2" fontId="17" fillId="6" borderId="4" xfId="0" applyNumberFormat="1" applyFont="1" applyFill="1" applyBorder="1" applyAlignment="1" applyProtection="1">
      <alignment horizontal="center"/>
      <protection locked="0"/>
    </xf>
    <xf numFmtId="2" fontId="17" fillId="6" borderId="48" xfId="0" applyNumberFormat="1" applyFont="1" applyFill="1" applyBorder="1" applyAlignment="1" applyProtection="1">
      <alignment horizontal="center"/>
      <protection locked="0"/>
    </xf>
    <xf numFmtId="2" fontId="17" fillId="6" borderId="38" xfId="0" applyNumberFormat="1" applyFont="1" applyFill="1" applyBorder="1" applyAlignment="1" applyProtection="1">
      <alignment horizontal="center"/>
      <protection locked="0"/>
    </xf>
    <xf numFmtId="2" fontId="17" fillId="6" borderId="7" xfId="0" applyNumberFormat="1" applyFont="1" applyFill="1" applyBorder="1" applyAlignment="1" applyProtection="1">
      <alignment horizontal="center"/>
      <protection locked="0"/>
    </xf>
    <xf numFmtId="9" fontId="0" fillId="4" borderId="6" xfId="0" applyNumberFormat="1" applyFill="1" applyBorder="1" applyAlignment="1">
      <alignment horizontal="center"/>
    </xf>
    <xf numFmtId="9" fontId="0" fillId="4" borderId="28" xfId="0" applyNumberFormat="1" applyFill="1"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9" fontId="10" fillId="4" borderId="49" xfId="0" applyNumberFormat="1" applyFont="1" applyFill="1" applyBorder="1" applyAlignment="1">
      <alignment horizontal="center" wrapText="1"/>
    </xf>
    <xf numFmtId="9" fontId="10" fillId="4" borderId="34" xfId="0" applyNumberFormat="1" applyFont="1" applyFill="1" applyBorder="1" applyAlignment="1">
      <alignment horizontal="center" wrapText="1"/>
    </xf>
    <xf numFmtId="9" fontId="10" fillId="4" borderId="16" xfId="0" applyNumberFormat="1" applyFont="1" applyFill="1" applyBorder="1" applyAlignment="1">
      <alignment horizontal="center" wrapText="1"/>
    </xf>
    <xf numFmtId="0" fontId="6" fillId="3" borderId="55" xfId="0" applyFont="1" applyFill="1" applyBorder="1" applyAlignment="1">
      <alignment horizontal="center"/>
    </xf>
    <xf numFmtId="0" fontId="6" fillId="3" borderId="39" xfId="0" applyFont="1" applyFill="1" applyBorder="1" applyAlignment="1">
      <alignment horizontal="center"/>
    </xf>
    <xf numFmtId="2" fontId="8" fillId="21" borderId="17" xfId="0" applyNumberFormat="1" applyFont="1" applyFill="1" applyBorder="1" applyAlignment="1">
      <alignment horizontal="center"/>
    </xf>
    <xf numFmtId="0" fontId="0" fillId="21" borderId="53" xfId="0" applyFill="1" applyBorder="1" applyAlignment="1">
      <alignment horizontal="center"/>
    </xf>
    <xf numFmtId="0" fontId="0" fillId="21" borderId="54" xfId="0" applyFill="1" applyBorder="1" applyAlignment="1">
      <alignment horizontal="center"/>
    </xf>
    <xf numFmtId="2" fontId="8" fillId="21" borderId="33" xfId="0" applyNumberFormat="1" applyFont="1" applyFill="1" applyBorder="1" applyAlignment="1">
      <alignment horizontal="center"/>
    </xf>
    <xf numFmtId="0" fontId="0" fillId="21" borderId="14" xfId="0" applyFill="1" applyBorder="1" applyAlignment="1">
      <alignment horizontal="center"/>
    </xf>
    <xf numFmtId="0" fontId="0" fillId="21" borderId="56" xfId="0" applyFill="1" applyBorder="1" applyAlignment="1">
      <alignment horizontal="center"/>
    </xf>
    <xf numFmtId="2" fontId="8" fillId="21" borderId="59" xfId="0" applyNumberFormat="1" applyFont="1" applyFill="1" applyBorder="1" applyAlignment="1">
      <alignment horizontal="center"/>
    </xf>
    <xf numFmtId="0" fontId="0" fillId="21" borderId="61" xfId="0" applyFill="1" applyBorder="1" applyAlignment="1">
      <alignment horizontal="center"/>
    </xf>
    <xf numFmtId="0" fontId="0" fillId="21" borderId="62" xfId="0" applyFill="1" applyBorder="1" applyAlignment="1">
      <alignment horizontal="center"/>
    </xf>
    <xf numFmtId="0" fontId="0" fillId="0" borderId="55" xfId="0" applyBorder="1" applyAlignment="1">
      <alignment horizontal="center"/>
    </xf>
    <xf numFmtId="2" fontId="6" fillId="3" borderId="18" xfId="0" applyNumberFormat="1" applyFont="1" applyFill="1" applyBorder="1" applyAlignment="1">
      <alignment horizontal="center"/>
    </xf>
    <xf numFmtId="2" fontId="6" fillId="3" borderId="55" xfId="0" applyNumberFormat="1" applyFont="1" applyFill="1" applyBorder="1" applyAlignment="1">
      <alignment horizontal="center"/>
    </xf>
    <xf numFmtId="0" fontId="31" fillId="3" borderId="55" xfId="0" applyFont="1" applyFill="1" applyBorder="1" applyAlignment="1">
      <alignment horizontal="center"/>
    </xf>
    <xf numFmtId="0" fontId="6" fillId="20" borderId="20" xfId="0" applyFont="1" applyFill="1" applyBorder="1" applyAlignment="1">
      <alignment vertical="center"/>
    </xf>
    <xf numFmtId="0" fontId="6" fillId="20" borderId="10" xfId="0" applyFont="1" applyFill="1" applyBorder="1" applyAlignment="1">
      <alignment vertical="center"/>
    </xf>
    <xf numFmtId="0" fontId="6" fillId="20" borderId="19" xfId="0" applyFont="1" applyFill="1" applyBorder="1" applyAlignment="1">
      <alignment vertical="center"/>
    </xf>
    <xf numFmtId="0" fontId="6" fillId="20" borderId="12" xfId="0" applyFont="1" applyFill="1" applyBorder="1" applyAlignment="1">
      <alignment vertical="center"/>
    </xf>
    <xf numFmtId="0" fontId="6" fillId="20" borderId="0" xfId="0" applyFont="1" applyFill="1" applyBorder="1" applyAlignment="1">
      <alignment vertical="center"/>
    </xf>
    <xf numFmtId="0" fontId="6" fillId="20" borderId="35" xfId="0" applyFont="1" applyFill="1" applyBorder="1" applyAlignment="1">
      <alignment vertical="center"/>
    </xf>
    <xf numFmtId="0" fontId="6" fillId="20" borderId="32" xfId="0" applyFont="1" applyFill="1" applyBorder="1" applyAlignment="1">
      <alignment vertical="center"/>
    </xf>
    <xf numFmtId="0" fontId="6" fillId="20" borderId="46" xfId="0" applyFont="1" applyFill="1" applyBorder="1" applyAlignment="1">
      <alignment vertical="center"/>
    </xf>
    <xf numFmtId="0" fontId="6" fillId="20" borderId="47" xfId="0" applyFont="1" applyFill="1" applyBorder="1" applyAlignment="1">
      <alignment vertical="center"/>
    </xf>
    <xf numFmtId="0" fontId="8" fillId="0" borderId="0" xfId="0" applyFont="1" applyAlignment="1">
      <alignment vertical="center" wrapText="1"/>
    </xf>
    <xf numFmtId="0" fontId="3" fillId="2" borderId="11" xfId="0" applyFont="1" applyFill="1" applyBorder="1" applyAlignment="1"/>
    <xf numFmtId="0" fontId="0" fillId="0" borderId="11" xfId="0" applyBorder="1" applyAlignment="1"/>
    <xf numFmtId="0" fontId="0" fillId="2" borderId="11" xfId="0" applyFill="1" applyBorder="1" applyAlignment="1"/>
    <xf numFmtId="0" fontId="8" fillId="3" borderId="0" xfId="5" applyFont="1" applyFill="1" applyBorder="1" applyAlignment="1">
      <alignment wrapText="1"/>
    </xf>
    <xf numFmtId="0" fontId="3" fillId="6" borderId="0" xfId="0" applyFont="1" applyFill="1" applyBorder="1" applyAlignment="1"/>
    <xf numFmtId="0" fontId="0" fillId="6" borderId="0" xfId="0" applyFill="1" applyBorder="1" applyAlignment="1"/>
    <xf numFmtId="0" fontId="3" fillId="8" borderId="0" xfId="0" applyFont="1" applyFill="1" applyBorder="1" applyAlignment="1"/>
    <xf numFmtId="0" fontId="0" fillId="8" borderId="0" xfId="0" applyFill="1" applyBorder="1" applyAlignment="1"/>
    <xf numFmtId="10" fontId="0" fillId="21" borderId="62" xfId="0" applyNumberFormat="1" applyFill="1" applyBorder="1" applyAlignment="1">
      <alignment horizontal="center"/>
    </xf>
    <xf numFmtId="10" fontId="0" fillId="21" borderId="56" xfId="0" applyNumberFormat="1" applyFill="1" applyBorder="1" applyAlignment="1">
      <alignment horizontal="center"/>
    </xf>
    <xf numFmtId="10" fontId="0" fillId="21" borderId="54" xfId="0" applyNumberFormat="1" applyFill="1" applyBorder="1" applyAlignment="1">
      <alignment horizontal="center"/>
    </xf>
  </cellXfs>
  <cellStyles count="13">
    <cellStyle name="Hyperlink" xfId="1" builtinId="8"/>
    <cellStyle name="Hyperlink 2" xfId="2"/>
    <cellStyle name="Hyperlink 2 2" xfId="9"/>
    <cellStyle name="Normal" xfId="0" builtinId="0"/>
    <cellStyle name="Normal 2" xfId="3"/>
    <cellStyle name="Normal 2 2" xfId="10"/>
    <cellStyle name="Normal 3" xfId="4"/>
    <cellStyle name="Normal 3 2" xfId="11"/>
    <cellStyle name="Normal 4" xfId="8"/>
    <cellStyle name="Normal_TecEcoCementSequestration&amp;EmbodiedEnergy270705" xfId="5"/>
    <cellStyle name="Percent" xfId="6" builtinId="5"/>
    <cellStyle name="Percent 2" xfId="7"/>
    <cellStyle name="Percent 2 2" xfId="12"/>
  </cellStyles>
  <dxfs count="96">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6.gif"/><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w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133350</xdr:colOff>
      <xdr:row>62</xdr:row>
      <xdr:rowOff>66675</xdr:rowOff>
    </xdr:from>
    <xdr:to>
      <xdr:col>9</xdr:col>
      <xdr:colOff>571500</xdr:colOff>
      <xdr:row>66</xdr:row>
      <xdr:rowOff>19050</xdr:rowOff>
    </xdr:to>
    <xdr:sp macro="" textlink="">
      <xdr:nvSpPr>
        <xdr:cNvPr id="487709" name="AutoShape 249"/>
        <xdr:cNvSpPr>
          <a:spLocks noChangeArrowheads="1"/>
        </xdr:cNvSpPr>
      </xdr:nvSpPr>
      <xdr:spPr bwMode="auto">
        <a:xfrm rot="5373453" flipH="1">
          <a:off x="6853237" y="12215813"/>
          <a:ext cx="714375" cy="43815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200" y="10800"/>
              </a:moveTo>
              <a:cubicBezTo>
                <a:pt x="16200" y="7817"/>
                <a:pt x="13782" y="5400"/>
                <a:pt x="10800" y="5400"/>
              </a:cubicBezTo>
              <a:cubicBezTo>
                <a:pt x="7817" y="5400"/>
                <a:pt x="5400" y="7817"/>
                <a:pt x="5400" y="10800"/>
              </a:cubicBezTo>
              <a:lnTo>
                <a:pt x="0" y="10800"/>
              </a:lnTo>
              <a:cubicBezTo>
                <a:pt x="0" y="4835"/>
                <a:pt x="4835" y="0"/>
                <a:pt x="10800" y="0"/>
              </a:cubicBezTo>
              <a:cubicBezTo>
                <a:pt x="16764" y="0"/>
                <a:pt x="21599" y="4835"/>
                <a:pt x="21600" y="10799"/>
              </a:cubicBezTo>
              <a:lnTo>
                <a:pt x="21600" y="10800"/>
              </a:ln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8</xdr:col>
      <xdr:colOff>714375</xdr:colOff>
      <xdr:row>56</xdr:row>
      <xdr:rowOff>66675</xdr:rowOff>
    </xdr:from>
    <xdr:to>
      <xdr:col>12</xdr:col>
      <xdr:colOff>733425</xdr:colOff>
      <xdr:row>69</xdr:row>
      <xdr:rowOff>9525</xdr:rowOff>
    </xdr:to>
    <xdr:sp macro="" textlink="">
      <xdr:nvSpPr>
        <xdr:cNvPr id="1274" name="Text Box 250"/>
        <xdr:cNvSpPr txBox="1">
          <a:spLocks noChangeArrowheads="1"/>
        </xdr:cNvSpPr>
      </xdr:nvSpPr>
      <xdr:spPr bwMode="auto">
        <a:xfrm>
          <a:off x="6810375" y="10934700"/>
          <a:ext cx="3067050" cy="2419350"/>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Grinding, blending, packaging and distribution</a:t>
          </a:r>
        </a:p>
      </xdr:txBody>
    </xdr:sp>
    <xdr:clientData/>
  </xdr:twoCellAnchor>
  <xdr:twoCellAnchor>
    <xdr:from>
      <xdr:col>11</xdr:col>
      <xdr:colOff>228600</xdr:colOff>
      <xdr:row>61</xdr:row>
      <xdr:rowOff>95250</xdr:rowOff>
    </xdr:from>
    <xdr:to>
      <xdr:col>12</xdr:col>
      <xdr:colOff>333375</xdr:colOff>
      <xdr:row>64</xdr:row>
      <xdr:rowOff>104775</xdr:rowOff>
    </xdr:to>
    <xdr:sp macro="" textlink="">
      <xdr:nvSpPr>
        <xdr:cNvPr id="1276" name="AutoShape 252"/>
        <xdr:cNvSpPr>
          <a:spLocks noChangeArrowheads="1"/>
        </xdr:cNvSpPr>
      </xdr:nvSpPr>
      <xdr:spPr bwMode="auto">
        <a:xfrm>
          <a:off x="8610600" y="11915775"/>
          <a:ext cx="866775" cy="581025"/>
        </a:xfrm>
        <a:prstGeom prst="bevel">
          <a:avLst>
            <a:gd name="adj" fmla="val 12500"/>
          </a:avLst>
        </a:prstGeom>
        <a:solidFill>
          <a:srgbClr val="FFCC99"/>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TecEco Cements</a:t>
          </a:r>
        </a:p>
      </xdr:txBody>
    </xdr:sp>
    <xdr:clientData/>
  </xdr:twoCellAnchor>
  <xdr:twoCellAnchor>
    <xdr:from>
      <xdr:col>11</xdr:col>
      <xdr:colOff>590550</xdr:colOff>
      <xdr:row>64</xdr:row>
      <xdr:rowOff>95250</xdr:rowOff>
    </xdr:from>
    <xdr:to>
      <xdr:col>12</xdr:col>
      <xdr:colOff>676275</xdr:colOff>
      <xdr:row>65</xdr:row>
      <xdr:rowOff>104775</xdr:rowOff>
    </xdr:to>
    <xdr:sp macro="" textlink="">
      <xdr:nvSpPr>
        <xdr:cNvPr id="487713" name="AutoShape 253"/>
        <xdr:cNvSpPr>
          <a:spLocks noChangeArrowheads="1"/>
        </xdr:cNvSpPr>
      </xdr:nvSpPr>
      <xdr:spPr bwMode="auto">
        <a:xfrm>
          <a:off x="8972550" y="12487275"/>
          <a:ext cx="847725" cy="200025"/>
        </a:xfrm>
        <a:prstGeom prst="rightArrow">
          <a:avLst>
            <a:gd name="adj1" fmla="val 50000"/>
            <a:gd name="adj2" fmla="val 105952"/>
          </a:avLst>
        </a:prstGeom>
        <a:solidFill>
          <a:srgbClr val="FFFFFF"/>
        </a:solidFill>
        <a:ln w="9525">
          <a:solidFill>
            <a:srgbClr val="000000"/>
          </a:solidFill>
          <a:miter lim="800000"/>
          <a:headEnd/>
          <a:tailEnd/>
        </a:ln>
      </xdr:spPr>
    </xdr:sp>
    <xdr:clientData/>
  </xdr:twoCellAnchor>
  <xdr:twoCellAnchor>
    <xdr:from>
      <xdr:col>9</xdr:col>
      <xdr:colOff>28575</xdr:colOff>
      <xdr:row>58</xdr:row>
      <xdr:rowOff>76200</xdr:rowOff>
    </xdr:from>
    <xdr:to>
      <xdr:col>9</xdr:col>
      <xdr:colOff>704850</xdr:colOff>
      <xdr:row>60</xdr:row>
      <xdr:rowOff>142875</xdr:rowOff>
    </xdr:to>
    <xdr:sp macro="" textlink="">
      <xdr:nvSpPr>
        <xdr:cNvPr id="1278" name="Rectangle 254"/>
        <xdr:cNvSpPr>
          <a:spLocks noChangeArrowheads="1"/>
        </xdr:cNvSpPr>
      </xdr:nvSpPr>
      <xdr:spPr bwMode="auto">
        <a:xfrm>
          <a:off x="6886575" y="11325225"/>
          <a:ext cx="676275" cy="447675"/>
        </a:xfrm>
        <a:prstGeom prst="rect">
          <a:avLst/>
        </a:prstGeom>
        <a:solidFill>
          <a:srgbClr val="FF99CC"/>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Portland cement</a:t>
          </a:r>
        </a:p>
      </xdr:txBody>
    </xdr:sp>
    <xdr:clientData/>
  </xdr:twoCellAnchor>
  <xdr:twoCellAnchor>
    <xdr:from>
      <xdr:col>9</xdr:col>
      <xdr:colOff>104775</xdr:colOff>
      <xdr:row>60</xdr:row>
      <xdr:rowOff>133350</xdr:rowOff>
    </xdr:from>
    <xdr:to>
      <xdr:col>9</xdr:col>
      <xdr:colOff>123825</xdr:colOff>
      <xdr:row>64</xdr:row>
      <xdr:rowOff>47625</xdr:rowOff>
    </xdr:to>
    <xdr:sp macro="" textlink="">
      <xdr:nvSpPr>
        <xdr:cNvPr id="487715" name="Line 255"/>
        <xdr:cNvSpPr>
          <a:spLocks noChangeShapeType="1"/>
        </xdr:cNvSpPr>
      </xdr:nvSpPr>
      <xdr:spPr bwMode="auto">
        <a:xfrm>
          <a:off x="6962775" y="11763375"/>
          <a:ext cx="190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123824</xdr:colOff>
      <xdr:row>64</xdr:row>
      <xdr:rowOff>47626</xdr:rowOff>
    </xdr:from>
    <xdr:to>
      <xdr:col>10</xdr:col>
      <xdr:colOff>19049</xdr:colOff>
      <xdr:row>64</xdr:row>
      <xdr:rowOff>47626</xdr:rowOff>
    </xdr:to>
    <xdr:sp macro="" textlink="">
      <xdr:nvSpPr>
        <xdr:cNvPr id="487716" name="Line 256"/>
        <xdr:cNvSpPr>
          <a:spLocks noChangeShapeType="1"/>
        </xdr:cNvSpPr>
      </xdr:nvSpPr>
      <xdr:spPr bwMode="auto">
        <a:xfrm>
          <a:off x="6981824" y="12439651"/>
          <a:ext cx="657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447675</xdr:colOff>
      <xdr:row>56</xdr:row>
      <xdr:rowOff>66675</xdr:rowOff>
    </xdr:from>
    <xdr:to>
      <xdr:col>8</xdr:col>
      <xdr:colOff>542925</xdr:colOff>
      <xdr:row>69</xdr:row>
      <xdr:rowOff>9525</xdr:rowOff>
    </xdr:to>
    <xdr:sp macro="" textlink="">
      <xdr:nvSpPr>
        <xdr:cNvPr id="1281" name="Text Box 257"/>
        <xdr:cNvSpPr txBox="1">
          <a:spLocks noChangeArrowheads="1"/>
        </xdr:cNvSpPr>
      </xdr:nvSpPr>
      <xdr:spPr bwMode="auto">
        <a:xfrm>
          <a:off x="3495675" y="10934700"/>
          <a:ext cx="3143250" cy="2419350"/>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Production of reactive Magnesia (rMgO)</a:t>
          </a:r>
          <a:endParaRPr lang="en-AU" sz="1200" b="0" i="0" u="none" strike="noStrike" baseline="0">
            <a:solidFill>
              <a:srgbClr val="000000"/>
            </a:solidFill>
            <a:latin typeface="Arial"/>
            <a:cs typeface="Arial"/>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en-AU" sz="800" b="0" i="0" u="none" strike="noStrike" baseline="0">
              <a:solidFill>
                <a:srgbClr val="000000"/>
              </a:solidFill>
              <a:latin typeface="Arial"/>
              <a:cs typeface="Arial"/>
            </a:rPr>
            <a:t>Main Reaction: </a:t>
          </a:r>
          <a:r>
            <a:rPr lang="en-AU" sz="1000" b="0" i="0" baseline="0">
              <a:effectLst/>
              <a:latin typeface="+mn-lt"/>
              <a:ea typeface="+mn-ea"/>
              <a:cs typeface="+mn-cs"/>
            </a:rPr>
            <a:t>MgCO</a:t>
          </a:r>
          <a:r>
            <a:rPr lang="en-AU" sz="1000" b="0" i="0" baseline="-25000">
              <a:effectLst/>
              <a:latin typeface="+mn-lt"/>
              <a:ea typeface="+mn-ea"/>
              <a:cs typeface="+mn-cs"/>
            </a:rPr>
            <a:t>3.</a:t>
          </a:r>
          <a:r>
            <a:rPr lang="en-AU" sz="1000">
              <a:effectLst/>
              <a:latin typeface="+mn-lt"/>
              <a:ea typeface="+mn-ea"/>
              <a:cs typeface="+mn-cs"/>
            </a:rPr>
            <a:t>3H</a:t>
          </a:r>
          <a:r>
            <a:rPr lang="en-AU" sz="1000" baseline="-25000">
              <a:effectLst/>
              <a:latin typeface="+mn-lt"/>
              <a:ea typeface="+mn-ea"/>
              <a:cs typeface="+mn-cs"/>
            </a:rPr>
            <a:t>2</a:t>
          </a:r>
          <a:r>
            <a:rPr lang="en-AU" sz="1000">
              <a:effectLst/>
              <a:latin typeface="+mn-lt"/>
              <a:ea typeface="+mn-ea"/>
              <a:cs typeface="+mn-cs"/>
            </a:rPr>
            <a:t>O</a:t>
          </a:r>
          <a:endParaRPr lang="en-AU" sz="800">
            <a:effectLst/>
          </a:endParaRPr>
        </a:p>
        <a:p>
          <a:pPr algn="ctr" rtl="0">
            <a:defRPr sz="1000"/>
          </a:pPr>
          <a:r>
            <a:rPr lang="en-AU" sz="800" b="0" i="0" u="none" strike="noStrike" baseline="0">
              <a:solidFill>
                <a:srgbClr val="000000"/>
              </a:solidFill>
              <a:latin typeface="Arial"/>
              <a:cs typeface="Arial"/>
            </a:rPr>
            <a:t> =&gt; MgO + CO</a:t>
          </a:r>
          <a:r>
            <a:rPr lang="en-AU" sz="800" b="0" i="0" u="none" strike="noStrike" baseline="-25000">
              <a:solidFill>
                <a:srgbClr val="000000"/>
              </a:solidFill>
              <a:latin typeface="Arial"/>
              <a:cs typeface="Arial"/>
            </a:rPr>
            <a:t>2</a:t>
          </a:r>
        </a:p>
      </xdr:txBody>
    </xdr:sp>
    <xdr:clientData/>
  </xdr:twoCellAnchor>
  <xdr:twoCellAnchor>
    <xdr:from>
      <xdr:col>5</xdr:col>
      <xdr:colOff>266700</xdr:colOff>
      <xdr:row>59</xdr:row>
      <xdr:rowOff>9525</xdr:rowOff>
    </xdr:from>
    <xdr:to>
      <xdr:col>6</xdr:col>
      <xdr:colOff>457200</xdr:colOff>
      <xdr:row>68</xdr:row>
      <xdr:rowOff>95250</xdr:rowOff>
    </xdr:to>
    <xdr:sp macro="" textlink="">
      <xdr:nvSpPr>
        <xdr:cNvPr id="487718" name="AutoShape 258"/>
        <xdr:cNvSpPr>
          <a:spLocks noChangeArrowheads="1"/>
        </xdr:cNvSpPr>
      </xdr:nvSpPr>
      <xdr:spPr bwMode="auto">
        <a:xfrm>
          <a:off x="4076700" y="11449050"/>
          <a:ext cx="952500" cy="1800225"/>
        </a:xfrm>
        <a:prstGeom prst="can">
          <a:avLst>
            <a:gd name="adj" fmla="val 44500"/>
          </a:avLst>
        </a:prstGeom>
        <a:solidFill>
          <a:srgbClr val="CCFFCC"/>
        </a:solidFill>
        <a:ln w="9525">
          <a:solidFill>
            <a:srgbClr val="000000"/>
          </a:solidFill>
          <a:round/>
          <a:headEnd/>
          <a:tailEnd/>
        </a:ln>
      </xdr:spPr>
    </xdr:sp>
    <xdr:clientData/>
  </xdr:twoCellAnchor>
  <xdr:twoCellAnchor>
    <xdr:from>
      <xdr:col>7</xdr:col>
      <xdr:colOff>495300</xdr:colOff>
      <xdr:row>65</xdr:row>
      <xdr:rowOff>123825</xdr:rowOff>
    </xdr:from>
    <xdr:to>
      <xdr:col>8</xdr:col>
      <xdr:colOff>314325</xdr:colOff>
      <xdr:row>66</xdr:row>
      <xdr:rowOff>171450</xdr:rowOff>
    </xdr:to>
    <xdr:sp macro="" textlink="">
      <xdr:nvSpPr>
        <xdr:cNvPr id="1283" name="Text Box 259"/>
        <xdr:cNvSpPr txBox="1">
          <a:spLocks noChangeArrowheads="1"/>
        </xdr:cNvSpPr>
      </xdr:nvSpPr>
      <xdr:spPr bwMode="auto">
        <a:xfrm>
          <a:off x="5829300" y="12706350"/>
          <a:ext cx="581025" cy="238125"/>
        </a:xfrm>
        <a:prstGeom prst="rect">
          <a:avLst/>
        </a:prstGeom>
        <a:noFill/>
        <a:ln w="9525">
          <a:no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rMgO</a:t>
          </a:r>
        </a:p>
      </xdr:txBody>
    </xdr:sp>
    <xdr:clientData/>
  </xdr:twoCellAnchor>
  <xdr:twoCellAnchor>
    <xdr:from>
      <xdr:col>4</xdr:col>
      <xdr:colOff>523875</xdr:colOff>
      <xdr:row>59</xdr:row>
      <xdr:rowOff>95250</xdr:rowOff>
    </xdr:from>
    <xdr:to>
      <xdr:col>5</xdr:col>
      <xdr:colOff>171450</xdr:colOff>
      <xdr:row>60</xdr:row>
      <xdr:rowOff>171450</xdr:rowOff>
    </xdr:to>
    <xdr:sp macro="" textlink="">
      <xdr:nvSpPr>
        <xdr:cNvPr id="1284" name="Text Box 260"/>
        <xdr:cNvSpPr txBox="1">
          <a:spLocks noChangeArrowheads="1"/>
        </xdr:cNvSpPr>
      </xdr:nvSpPr>
      <xdr:spPr bwMode="auto">
        <a:xfrm>
          <a:off x="3571875" y="11534775"/>
          <a:ext cx="4095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CO</a:t>
          </a:r>
          <a:r>
            <a:rPr lang="en-AU" sz="1000" b="0" i="0" u="none" strike="noStrike" baseline="-25000">
              <a:solidFill>
                <a:srgbClr val="000000"/>
              </a:solidFill>
              <a:latin typeface="Arial"/>
              <a:cs typeface="Arial"/>
            </a:rPr>
            <a:t>2</a:t>
          </a:r>
        </a:p>
      </xdr:txBody>
    </xdr:sp>
    <xdr:clientData/>
  </xdr:twoCellAnchor>
  <xdr:twoCellAnchor>
    <xdr:from>
      <xdr:col>6</xdr:col>
      <xdr:colOff>657225</xdr:colOff>
      <xdr:row>65</xdr:row>
      <xdr:rowOff>123825</xdr:rowOff>
    </xdr:from>
    <xdr:to>
      <xdr:col>7</xdr:col>
      <xdr:colOff>419100</xdr:colOff>
      <xdr:row>66</xdr:row>
      <xdr:rowOff>152400</xdr:rowOff>
    </xdr:to>
    <xdr:sp macro="" textlink="">
      <xdr:nvSpPr>
        <xdr:cNvPr id="487721" name="AutoShape 263"/>
        <xdr:cNvSpPr>
          <a:spLocks noChangeArrowheads="1"/>
        </xdr:cNvSpPr>
      </xdr:nvSpPr>
      <xdr:spPr bwMode="auto">
        <a:xfrm>
          <a:off x="5229225" y="12706350"/>
          <a:ext cx="523875" cy="219075"/>
        </a:xfrm>
        <a:prstGeom prst="rightArrow">
          <a:avLst>
            <a:gd name="adj1" fmla="val 50000"/>
            <a:gd name="adj2" fmla="val 59783"/>
          </a:avLst>
        </a:prstGeom>
        <a:solidFill>
          <a:srgbClr val="FFFFFF"/>
        </a:solidFill>
        <a:ln w="9525">
          <a:solidFill>
            <a:srgbClr val="000000"/>
          </a:solidFill>
          <a:miter lim="800000"/>
          <a:headEnd/>
          <a:tailEnd/>
        </a:ln>
      </xdr:spPr>
    </xdr:sp>
    <xdr:clientData/>
  </xdr:twoCellAnchor>
  <xdr:twoCellAnchor>
    <xdr:from>
      <xdr:col>8</xdr:col>
      <xdr:colOff>209550</xdr:colOff>
      <xdr:row>65</xdr:row>
      <xdr:rowOff>114299</xdr:rowOff>
    </xdr:from>
    <xdr:to>
      <xdr:col>9</xdr:col>
      <xdr:colOff>628650</xdr:colOff>
      <xdr:row>66</xdr:row>
      <xdr:rowOff>161924</xdr:rowOff>
    </xdr:to>
    <xdr:sp macro="" textlink="">
      <xdr:nvSpPr>
        <xdr:cNvPr id="487722" name="AutoShape 264"/>
        <xdr:cNvSpPr>
          <a:spLocks noChangeArrowheads="1"/>
        </xdr:cNvSpPr>
      </xdr:nvSpPr>
      <xdr:spPr bwMode="auto">
        <a:xfrm>
          <a:off x="6305550" y="12696824"/>
          <a:ext cx="1181100" cy="238125"/>
        </a:xfrm>
        <a:prstGeom prst="rightArrow">
          <a:avLst>
            <a:gd name="adj1" fmla="val 50000"/>
            <a:gd name="adj2" fmla="val 87500"/>
          </a:avLst>
        </a:prstGeom>
        <a:solidFill>
          <a:srgbClr val="FFFFFF"/>
        </a:solidFill>
        <a:ln w="9525">
          <a:solidFill>
            <a:srgbClr val="000000"/>
          </a:solidFill>
          <a:miter lim="800000"/>
          <a:headEnd/>
          <a:tailEnd/>
        </a:ln>
      </xdr:spPr>
    </xdr:sp>
    <xdr:clientData/>
  </xdr:twoCellAnchor>
  <xdr:twoCellAnchor>
    <xdr:from>
      <xdr:col>5</xdr:col>
      <xdr:colOff>266700</xdr:colOff>
      <xdr:row>61</xdr:row>
      <xdr:rowOff>76200</xdr:rowOff>
    </xdr:from>
    <xdr:to>
      <xdr:col>6</xdr:col>
      <xdr:colOff>428625</xdr:colOff>
      <xdr:row>68</xdr:row>
      <xdr:rowOff>66675</xdr:rowOff>
    </xdr:to>
    <xdr:sp macro="" textlink="">
      <xdr:nvSpPr>
        <xdr:cNvPr id="1289" name="Text Box 265"/>
        <xdr:cNvSpPr txBox="1">
          <a:spLocks noChangeArrowheads="1"/>
        </xdr:cNvSpPr>
      </xdr:nvSpPr>
      <xdr:spPr bwMode="auto">
        <a:xfrm>
          <a:off x="4076700" y="11896725"/>
          <a:ext cx="923925" cy="1323975"/>
        </a:xfrm>
        <a:prstGeom prst="rect">
          <a:avLst/>
        </a:prstGeom>
        <a:noFill/>
        <a:ln w="9525">
          <a:no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Tek-Kiln</a:t>
          </a:r>
          <a:br>
            <a:rPr lang="en-AU" sz="1200" b="0" i="0" u="none" strike="noStrike" baseline="0">
              <a:solidFill>
                <a:srgbClr val="000000"/>
              </a:solidFill>
              <a:latin typeface="Arial"/>
              <a:cs typeface="Arial"/>
            </a:rPr>
          </a:br>
          <a:r>
            <a:rPr lang="en-AU" sz="1200" b="0" i="0" u="none" strike="noStrike" baseline="0">
              <a:solidFill>
                <a:srgbClr val="000000"/>
              </a:solidFill>
              <a:latin typeface="Arial"/>
              <a:cs typeface="Arial"/>
            </a:rPr>
            <a:t>Closed system calcination process includes grinding</a:t>
          </a:r>
        </a:p>
      </xdr:txBody>
    </xdr:sp>
    <xdr:clientData/>
  </xdr:twoCellAnchor>
  <xdr:twoCellAnchor>
    <xdr:from>
      <xdr:col>0</xdr:col>
      <xdr:colOff>180975</xdr:colOff>
      <xdr:row>54</xdr:row>
      <xdr:rowOff>47625</xdr:rowOff>
    </xdr:from>
    <xdr:to>
      <xdr:col>4</xdr:col>
      <xdr:colOff>238125</xdr:colOff>
      <xdr:row>65</xdr:row>
      <xdr:rowOff>0</xdr:rowOff>
    </xdr:to>
    <xdr:sp macro="" textlink="">
      <xdr:nvSpPr>
        <xdr:cNvPr id="1290" name="Text Box 266"/>
        <xdr:cNvSpPr txBox="1">
          <a:spLocks noChangeArrowheads="1"/>
        </xdr:cNvSpPr>
      </xdr:nvSpPr>
      <xdr:spPr bwMode="auto">
        <a:xfrm>
          <a:off x="180975" y="10534650"/>
          <a:ext cx="3105150" cy="2047875"/>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AU" sz="1000" b="1" i="0" u="none" strike="noStrike" baseline="0">
              <a:solidFill>
                <a:srgbClr val="000000"/>
              </a:solidFill>
              <a:latin typeface="Arial"/>
              <a:cs typeface="Arial"/>
            </a:rPr>
            <a:t>N-Mg Process - Extraction of Mg from brines as Nesquehonite (</a:t>
          </a:r>
          <a:r>
            <a:rPr lang="en-AU" sz="1000" b="1" i="0" baseline="0">
              <a:effectLst/>
              <a:latin typeface="+mn-lt"/>
              <a:ea typeface="+mn-ea"/>
              <a:cs typeface="+mn-cs"/>
            </a:rPr>
            <a:t>MgCO</a:t>
          </a:r>
          <a:r>
            <a:rPr lang="en-AU" sz="1000" b="1" i="0" baseline="-25000">
              <a:effectLst/>
              <a:latin typeface="+mn-lt"/>
              <a:ea typeface="+mn-ea"/>
              <a:cs typeface="+mn-cs"/>
            </a:rPr>
            <a:t>3.</a:t>
          </a:r>
          <a:r>
            <a:rPr lang="en-AU" sz="1000" b="1">
              <a:effectLst/>
              <a:latin typeface="+mn-lt"/>
              <a:ea typeface="+mn-ea"/>
              <a:cs typeface="+mn-cs"/>
            </a:rPr>
            <a:t>3H</a:t>
          </a:r>
          <a:r>
            <a:rPr lang="en-AU" sz="1000" b="1" baseline="-25000">
              <a:effectLst/>
              <a:latin typeface="+mn-lt"/>
              <a:ea typeface="+mn-ea"/>
              <a:cs typeface="+mn-cs"/>
            </a:rPr>
            <a:t>2</a:t>
          </a:r>
          <a:r>
            <a:rPr lang="en-AU" sz="1000" b="1">
              <a:effectLst/>
              <a:latin typeface="+mn-lt"/>
              <a:ea typeface="+mn-ea"/>
              <a:cs typeface="+mn-cs"/>
            </a:rPr>
            <a:t>O</a:t>
          </a:r>
          <a:r>
            <a:rPr lang="en-AU" sz="1000">
              <a:effectLst/>
              <a:latin typeface="+mn-lt"/>
              <a:ea typeface="+mn-ea"/>
              <a:cs typeface="+mn-cs"/>
            </a:rPr>
            <a:t>)</a:t>
          </a:r>
          <a:endParaRPr lang="en-AU" sz="1200">
            <a:effectLst/>
          </a:endParaRPr>
        </a:p>
        <a:p>
          <a:pPr algn="ctr" rtl="0">
            <a:defRPr sz="1000"/>
          </a:pPr>
          <a:r>
            <a:rPr lang="en-AU" sz="800" b="0" i="0" u="none" strike="noStrike" baseline="0">
              <a:solidFill>
                <a:srgbClr val="000000"/>
              </a:solidFill>
              <a:latin typeface="Arial"/>
              <a:cs typeface="Arial"/>
            </a:rPr>
            <a:t>Main reaction: Mg</a:t>
          </a:r>
          <a:r>
            <a:rPr lang="en-AU" sz="800" b="0" i="0" u="none" strike="noStrike" baseline="30000">
              <a:solidFill>
                <a:srgbClr val="000000"/>
              </a:solidFill>
              <a:latin typeface="Arial"/>
              <a:cs typeface="Arial"/>
            </a:rPr>
            <a:t>++</a:t>
          </a:r>
          <a:r>
            <a:rPr lang="en-AU" sz="800" b="0" i="0" u="none" strike="noStrike" baseline="0">
              <a:solidFill>
                <a:srgbClr val="000000"/>
              </a:solidFill>
              <a:latin typeface="Arial"/>
              <a:cs typeface="Arial"/>
            </a:rPr>
            <a:t> + CO</a:t>
          </a:r>
          <a:r>
            <a:rPr lang="en-AU" sz="800" b="0" i="0" u="none" strike="noStrike" baseline="-25000">
              <a:solidFill>
                <a:srgbClr val="000000"/>
              </a:solidFill>
              <a:latin typeface="Arial"/>
              <a:cs typeface="Arial"/>
            </a:rPr>
            <a:t>2</a:t>
          </a:r>
          <a:r>
            <a:rPr lang="en-AU" sz="800" b="0" i="0" u="none" strike="noStrike" baseline="0">
              <a:solidFill>
                <a:srgbClr val="000000"/>
              </a:solidFill>
              <a:latin typeface="Arial"/>
              <a:cs typeface="Arial"/>
            </a:rPr>
            <a:t> =&gt; MgCO</a:t>
          </a:r>
          <a:r>
            <a:rPr lang="en-AU" sz="800" b="0" i="0" u="none" strike="noStrike" baseline="-25000">
              <a:solidFill>
                <a:srgbClr val="000000"/>
              </a:solidFill>
              <a:latin typeface="Arial"/>
              <a:cs typeface="Arial"/>
            </a:rPr>
            <a:t>3.</a:t>
          </a:r>
          <a:r>
            <a:rPr lang="en-AU"/>
            <a:t>3H</a:t>
          </a:r>
          <a:r>
            <a:rPr lang="en-AU" baseline="-25000"/>
            <a:t>2</a:t>
          </a:r>
          <a:r>
            <a:rPr lang="en-AU"/>
            <a:t>O</a:t>
          </a:r>
        </a:p>
      </xdr:txBody>
    </xdr:sp>
    <xdr:clientData/>
  </xdr:twoCellAnchor>
  <xdr:twoCellAnchor>
    <xdr:from>
      <xdr:col>0</xdr:col>
      <xdr:colOff>266700</xdr:colOff>
      <xdr:row>57</xdr:row>
      <xdr:rowOff>161925</xdr:rowOff>
    </xdr:from>
    <xdr:to>
      <xdr:col>1</xdr:col>
      <xdr:colOff>266700</xdr:colOff>
      <xdr:row>60</xdr:row>
      <xdr:rowOff>38100</xdr:rowOff>
    </xdr:to>
    <xdr:sp macro="" textlink="">
      <xdr:nvSpPr>
        <xdr:cNvPr id="1291" name="Text Box 267"/>
        <xdr:cNvSpPr txBox="1">
          <a:spLocks noChangeArrowheads="1"/>
        </xdr:cNvSpPr>
      </xdr:nvSpPr>
      <xdr:spPr bwMode="auto">
        <a:xfrm>
          <a:off x="266700" y="11220450"/>
          <a:ext cx="762000" cy="447675"/>
        </a:xfrm>
        <a:prstGeom prst="rect">
          <a:avLst/>
        </a:prstGeom>
        <a:solidFill>
          <a:srgbClr val="99CCFF"/>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Brine</a:t>
          </a:r>
        </a:p>
      </xdr:txBody>
    </xdr:sp>
    <xdr:clientData/>
  </xdr:twoCellAnchor>
  <xdr:twoCellAnchor>
    <xdr:from>
      <xdr:col>1</xdr:col>
      <xdr:colOff>495300</xdr:colOff>
      <xdr:row>57</xdr:row>
      <xdr:rowOff>161925</xdr:rowOff>
    </xdr:from>
    <xdr:to>
      <xdr:col>2</xdr:col>
      <xdr:colOff>561975</xdr:colOff>
      <xdr:row>60</xdr:row>
      <xdr:rowOff>38100</xdr:rowOff>
    </xdr:to>
    <xdr:sp macro="" textlink="">
      <xdr:nvSpPr>
        <xdr:cNvPr id="1292" name="Text Box 268"/>
        <xdr:cNvSpPr txBox="1">
          <a:spLocks noChangeArrowheads="1"/>
        </xdr:cNvSpPr>
      </xdr:nvSpPr>
      <xdr:spPr bwMode="auto">
        <a:xfrm>
          <a:off x="1257300" y="11220450"/>
          <a:ext cx="828675" cy="447675"/>
        </a:xfrm>
        <a:prstGeom prst="rect">
          <a:avLst/>
        </a:prstGeom>
        <a:solidFill>
          <a:srgbClr val="FFFF99"/>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pH adjustment</a:t>
          </a:r>
        </a:p>
      </xdr:txBody>
    </xdr:sp>
    <xdr:clientData/>
  </xdr:twoCellAnchor>
  <xdr:twoCellAnchor>
    <xdr:from>
      <xdr:col>2</xdr:col>
      <xdr:colOff>742950</xdr:colOff>
      <xdr:row>57</xdr:row>
      <xdr:rowOff>171450</xdr:rowOff>
    </xdr:from>
    <xdr:to>
      <xdr:col>4</xdr:col>
      <xdr:colOff>95250</xdr:colOff>
      <xdr:row>60</xdr:row>
      <xdr:rowOff>47625</xdr:rowOff>
    </xdr:to>
    <xdr:sp macro="" textlink="">
      <xdr:nvSpPr>
        <xdr:cNvPr id="1293" name="Text Box 269"/>
        <xdr:cNvSpPr txBox="1">
          <a:spLocks noChangeArrowheads="1"/>
        </xdr:cNvSpPr>
      </xdr:nvSpPr>
      <xdr:spPr bwMode="auto">
        <a:xfrm>
          <a:off x="2266950" y="11229975"/>
          <a:ext cx="876300" cy="447675"/>
        </a:xfrm>
        <a:prstGeom prst="rect">
          <a:avLst/>
        </a:prstGeom>
        <a:solidFill>
          <a:srgbClr val="C0C0C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CO</a:t>
          </a:r>
          <a:r>
            <a:rPr lang="en-AU" sz="10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 from industry</a:t>
          </a:r>
        </a:p>
      </xdr:txBody>
    </xdr:sp>
    <xdr:clientData/>
  </xdr:twoCellAnchor>
  <xdr:twoCellAnchor>
    <xdr:from>
      <xdr:col>1</xdr:col>
      <xdr:colOff>287039</xdr:colOff>
      <xdr:row>61</xdr:row>
      <xdr:rowOff>95250</xdr:rowOff>
    </xdr:from>
    <xdr:to>
      <xdr:col>3</xdr:col>
      <xdr:colOff>0</xdr:colOff>
      <xdr:row>64</xdr:row>
      <xdr:rowOff>152400</xdr:rowOff>
    </xdr:to>
    <xdr:grpSp>
      <xdr:nvGrpSpPr>
        <xdr:cNvPr id="487728" name="Group 270"/>
        <xdr:cNvGrpSpPr>
          <a:grpSpLocks/>
        </xdr:cNvGrpSpPr>
      </xdr:nvGrpSpPr>
      <xdr:grpSpPr bwMode="auto">
        <a:xfrm>
          <a:off x="1049039" y="11915775"/>
          <a:ext cx="1236961" cy="628650"/>
          <a:chOff x="116" y="346"/>
          <a:chExt cx="136" cy="70"/>
        </a:xfrm>
      </xdr:grpSpPr>
      <xdr:sp macro="" textlink="">
        <xdr:nvSpPr>
          <xdr:cNvPr id="487826" name="AutoShape 271"/>
          <xdr:cNvSpPr>
            <a:spLocks noChangeArrowheads="1"/>
          </xdr:cNvSpPr>
        </xdr:nvSpPr>
        <xdr:spPr bwMode="auto">
          <a:xfrm>
            <a:off x="119" y="346"/>
            <a:ext cx="133" cy="70"/>
          </a:xfrm>
          <a:prstGeom prst="roundRect">
            <a:avLst>
              <a:gd name="adj" fmla="val 16667"/>
            </a:avLst>
          </a:prstGeom>
          <a:solidFill>
            <a:srgbClr val="CCFFCC"/>
          </a:solidFill>
          <a:ln w="9525">
            <a:solidFill>
              <a:srgbClr val="000000"/>
            </a:solidFill>
            <a:round/>
            <a:headEnd/>
            <a:tailEnd/>
          </a:ln>
        </xdr:spPr>
      </xdr:sp>
      <xdr:sp macro="" textlink="">
        <xdr:nvSpPr>
          <xdr:cNvPr id="1296" name="Text Box 272"/>
          <xdr:cNvSpPr txBox="1">
            <a:spLocks noChangeArrowheads="1"/>
          </xdr:cNvSpPr>
        </xdr:nvSpPr>
        <xdr:spPr bwMode="auto">
          <a:xfrm>
            <a:off x="116" y="347"/>
            <a:ext cx="136" cy="66"/>
          </a:xfrm>
          <a:prstGeom prst="rect">
            <a:avLst/>
          </a:prstGeom>
          <a:noFill/>
          <a:ln w="9525">
            <a:no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N-Mg brine carbonation process</a:t>
            </a:r>
          </a:p>
        </xdr:txBody>
      </xdr:sp>
    </xdr:grpSp>
    <xdr:clientData/>
  </xdr:twoCellAnchor>
  <xdr:twoCellAnchor>
    <xdr:from>
      <xdr:col>3</xdr:col>
      <xdr:colOff>133350</xdr:colOff>
      <xdr:row>62</xdr:row>
      <xdr:rowOff>57150</xdr:rowOff>
    </xdr:from>
    <xdr:to>
      <xdr:col>4</xdr:col>
      <xdr:colOff>219075</xdr:colOff>
      <xdr:row>63</xdr:row>
      <xdr:rowOff>114300</xdr:rowOff>
    </xdr:to>
    <xdr:sp macro="" textlink="">
      <xdr:nvSpPr>
        <xdr:cNvPr id="1297" name="Text Box 273"/>
        <xdr:cNvSpPr txBox="1">
          <a:spLocks noChangeArrowheads="1"/>
        </xdr:cNvSpPr>
      </xdr:nvSpPr>
      <xdr:spPr bwMode="auto">
        <a:xfrm>
          <a:off x="2419350" y="12068175"/>
          <a:ext cx="847725" cy="247650"/>
        </a:xfrm>
        <a:prstGeom prst="rect">
          <a:avLst/>
        </a:prstGeom>
        <a:noFill/>
        <a:ln w="9525">
          <a:noFill/>
          <a:miter lim="800000"/>
          <a:headEnd/>
          <a:tailEnd/>
        </a:ln>
      </xdr:spPr>
      <xdr:txBody>
        <a:bodyPr vertOverflow="clip" wrap="square" lIns="27432" tIns="22860" rIns="27432" bIns="0" anchor="t" upright="1"/>
        <a:lstStyle/>
        <a:p>
          <a:pPr rtl="0"/>
          <a:r>
            <a:rPr lang="en-AU" sz="1100" b="0" i="0" baseline="0">
              <a:effectLst/>
              <a:latin typeface="+mn-lt"/>
              <a:ea typeface="+mn-ea"/>
              <a:cs typeface="+mn-cs"/>
            </a:rPr>
            <a:t>MgCO</a:t>
          </a:r>
          <a:r>
            <a:rPr lang="en-AU" sz="1100" b="0" i="0" baseline="-25000">
              <a:effectLst/>
              <a:latin typeface="+mn-lt"/>
              <a:ea typeface="+mn-ea"/>
              <a:cs typeface="+mn-cs"/>
            </a:rPr>
            <a:t>3.</a:t>
          </a:r>
          <a:r>
            <a:rPr lang="en-AU" sz="1100">
              <a:effectLst/>
              <a:latin typeface="+mn-lt"/>
              <a:ea typeface="+mn-ea"/>
              <a:cs typeface="+mn-cs"/>
            </a:rPr>
            <a:t>3H</a:t>
          </a:r>
          <a:r>
            <a:rPr lang="en-AU" sz="1100" baseline="-25000">
              <a:effectLst/>
              <a:latin typeface="+mn-lt"/>
              <a:ea typeface="+mn-ea"/>
              <a:cs typeface="+mn-cs"/>
            </a:rPr>
            <a:t>2</a:t>
          </a:r>
          <a:r>
            <a:rPr lang="en-AU" sz="1100">
              <a:effectLst/>
              <a:latin typeface="+mn-lt"/>
              <a:ea typeface="+mn-ea"/>
              <a:cs typeface="+mn-cs"/>
            </a:rPr>
            <a:t>O</a:t>
          </a:r>
          <a:endParaRPr lang="en-AU" sz="1000">
            <a:effectLst/>
          </a:endParaRPr>
        </a:p>
      </xdr:txBody>
    </xdr:sp>
    <xdr:clientData/>
  </xdr:twoCellAnchor>
  <xdr:twoCellAnchor>
    <xdr:from>
      <xdr:col>0</xdr:col>
      <xdr:colOff>628650</xdr:colOff>
      <xdr:row>60</xdr:row>
      <xdr:rowOff>38100</xdr:rowOff>
    </xdr:from>
    <xdr:to>
      <xdr:col>1</xdr:col>
      <xdr:colOff>342900</xdr:colOff>
      <xdr:row>61</xdr:row>
      <xdr:rowOff>95250</xdr:rowOff>
    </xdr:to>
    <xdr:sp macro="" textlink="">
      <xdr:nvSpPr>
        <xdr:cNvPr id="487730" name="Line 274"/>
        <xdr:cNvSpPr>
          <a:spLocks noChangeShapeType="1"/>
        </xdr:cNvSpPr>
      </xdr:nvSpPr>
      <xdr:spPr bwMode="auto">
        <a:xfrm>
          <a:off x="628650" y="11668125"/>
          <a:ext cx="47625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742950</xdr:colOff>
      <xdr:row>60</xdr:row>
      <xdr:rowOff>47625</xdr:rowOff>
    </xdr:from>
    <xdr:to>
      <xdr:col>3</xdr:col>
      <xdr:colOff>419100</xdr:colOff>
      <xdr:row>61</xdr:row>
      <xdr:rowOff>104775</xdr:rowOff>
    </xdr:to>
    <xdr:sp macro="" textlink="">
      <xdr:nvSpPr>
        <xdr:cNvPr id="487731" name="Line 275"/>
        <xdr:cNvSpPr>
          <a:spLocks noChangeShapeType="1"/>
        </xdr:cNvSpPr>
      </xdr:nvSpPr>
      <xdr:spPr bwMode="auto">
        <a:xfrm flipH="1">
          <a:off x="2266950" y="11677650"/>
          <a:ext cx="43815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152400</xdr:colOff>
      <xdr:row>60</xdr:row>
      <xdr:rowOff>47625</xdr:rowOff>
    </xdr:from>
    <xdr:to>
      <xdr:col>2</xdr:col>
      <xdr:colOff>152400</xdr:colOff>
      <xdr:row>61</xdr:row>
      <xdr:rowOff>95250</xdr:rowOff>
    </xdr:to>
    <xdr:sp macro="" textlink="">
      <xdr:nvSpPr>
        <xdr:cNvPr id="487732" name="Line 276"/>
        <xdr:cNvSpPr>
          <a:spLocks noChangeShapeType="1"/>
        </xdr:cNvSpPr>
      </xdr:nvSpPr>
      <xdr:spPr bwMode="auto">
        <a:xfrm>
          <a:off x="1676400" y="11677650"/>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533400</xdr:colOff>
      <xdr:row>79</xdr:row>
      <xdr:rowOff>9525</xdr:rowOff>
    </xdr:from>
    <xdr:to>
      <xdr:col>12</xdr:col>
      <xdr:colOff>533400</xdr:colOff>
      <xdr:row>90</xdr:row>
      <xdr:rowOff>57150</xdr:rowOff>
    </xdr:to>
    <xdr:sp macro="" textlink="">
      <xdr:nvSpPr>
        <xdr:cNvPr id="1301" name="Text Box 277"/>
        <xdr:cNvSpPr txBox="1">
          <a:spLocks noChangeArrowheads="1"/>
        </xdr:cNvSpPr>
      </xdr:nvSpPr>
      <xdr:spPr bwMode="auto">
        <a:xfrm>
          <a:off x="6629400" y="15259050"/>
          <a:ext cx="3048000" cy="2143125"/>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Grinding, blending, packaging and distribution</a:t>
          </a:r>
        </a:p>
      </xdr:txBody>
    </xdr:sp>
    <xdr:clientData/>
  </xdr:twoCellAnchor>
  <xdr:twoCellAnchor>
    <xdr:from>
      <xdr:col>11</xdr:col>
      <xdr:colOff>219075</xdr:colOff>
      <xdr:row>84</xdr:row>
      <xdr:rowOff>19050</xdr:rowOff>
    </xdr:from>
    <xdr:to>
      <xdr:col>12</xdr:col>
      <xdr:colOff>390525</xdr:colOff>
      <xdr:row>87</xdr:row>
      <xdr:rowOff>19050</xdr:rowOff>
    </xdr:to>
    <xdr:sp macro="" textlink="">
      <xdr:nvSpPr>
        <xdr:cNvPr id="1303" name="AutoShape 279"/>
        <xdr:cNvSpPr>
          <a:spLocks noChangeArrowheads="1"/>
        </xdr:cNvSpPr>
      </xdr:nvSpPr>
      <xdr:spPr bwMode="auto">
        <a:xfrm>
          <a:off x="8601075" y="16221075"/>
          <a:ext cx="933450" cy="571500"/>
        </a:xfrm>
        <a:prstGeom prst="bevel">
          <a:avLst>
            <a:gd name="adj" fmla="val 12500"/>
          </a:avLst>
        </a:prstGeom>
        <a:solidFill>
          <a:srgbClr val="9999FF"/>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Portland Cements</a:t>
          </a:r>
        </a:p>
      </xdr:txBody>
    </xdr:sp>
    <xdr:clientData/>
  </xdr:twoCellAnchor>
  <xdr:twoCellAnchor>
    <xdr:from>
      <xdr:col>11</xdr:col>
      <xdr:colOff>209550</xdr:colOff>
      <xdr:row>87</xdr:row>
      <xdr:rowOff>114300</xdr:rowOff>
    </xdr:from>
    <xdr:to>
      <xdr:col>12</xdr:col>
      <xdr:colOff>342900</xdr:colOff>
      <xdr:row>88</xdr:row>
      <xdr:rowOff>142875</xdr:rowOff>
    </xdr:to>
    <xdr:sp macro="" textlink="">
      <xdr:nvSpPr>
        <xdr:cNvPr id="487736" name="AutoShape 280"/>
        <xdr:cNvSpPr>
          <a:spLocks noChangeArrowheads="1"/>
        </xdr:cNvSpPr>
      </xdr:nvSpPr>
      <xdr:spPr bwMode="auto">
        <a:xfrm>
          <a:off x="8591550" y="16887825"/>
          <a:ext cx="895350" cy="219075"/>
        </a:xfrm>
        <a:prstGeom prst="rightArrow">
          <a:avLst>
            <a:gd name="adj1" fmla="val 50000"/>
            <a:gd name="adj2" fmla="val 102174"/>
          </a:avLst>
        </a:prstGeom>
        <a:solidFill>
          <a:srgbClr val="FFFFFF"/>
        </a:solidFill>
        <a:ln w="9525">
          <a:solidFill>
            <a:srgbClr val="000000"/>
          </a:solidFill>
          <a:miter lim="800000"/>
          <a:headEnd/>
          <a:tailEnd/>
        </a:ln>
      </xdr:spPr>
    </xdr:sp>
    <xdr:clientData/>
  </xdr:twoCellAnchor>
  <xdr:twoCellAnchor>
    <xdr:from>
      <xdr:col>4</xdr:col>
      <xdr:colOff>428625</xdr:colOff>
      <xdr:row>79</xdr:row>
      <xdr:rowOff>9525</xdr:rowOff>
    </xdr:from>
    <xdr:to>
      <xdr:col>8</xdr:col>
      <xdr:colOff>361950</xdr:colOff>
      <xdr:row>90</xdr:row>
      <xdr:rowOff>57150</xdr:rowOff>
    </xdr:to>
    <xdr:sp macro="" textlink="">
      <xdr:nvSpPr>
        <xdr:cNvPr id="1305" name="Text Box 281"/>
        <xdr:cNvSpPr txBox="1">
          <a:spLocks noChangeArrowheads="1"/>
        </xdr:cNvSpPr>
      </xdr:nvSpPr>
      <xdr:spPr bwMode="auto">
        <a:xfrm>
          <a:off x="3476625" y="15259050"/>
          <a:ext cx="2981325" cy="2143125"/>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Production of Portland Cement</a:t>
          </a:r>
          <a:endParaRPr lang="en-AU" sz="1200" b="0" i="0" u="none" strike="noStrike" baseline="0">
            <a:solidFill>
              <a:srgbClr val="000000"/>
            </a:solidFill>
            <a:latin typeface="Arial"/>
            <a:cs typeface="Arial"/>
          </a:endParaRPr>
        </a:p>
        <a:p>
          <a:pPr algn="ctr" rtl="0">
            <a:defRPr sz="1000"/>
          </a:pPr>
          <a:endParaRPr lang="en-AU" sz="1200" b="0" i="0" u="none" strike="noStrike" baseline="0">
            <a:solidFill>
              <a:srgbClr val="000000"/>
            </a:solidFill>
            <a:latin typeface="Arial"/>
            <a:cs typeface="Arial"/>
          </a:endParaRPr>
        </a:p>
        <a:p>
          <a:pPr algn="ctr" rtl="0">
            <a:defRPr sz="1000"/>
          </a:pPr>
          <a:r>
            <a:rPr lang="en-AU" sz="800" b="0" i="0" u="none" strike="noStrike" baseline="0">
              <a:solidFill>
                <a:srgbClr val="000000"/>
              </a:solidFill>
              <a:latin typeface="Arial"/>
              <a:cs typeface="Arial"/>
            </a:rPr>
            <a:t>Main Reaction: CaCO</a:t>
          </a:r>
          <a:r>
            <a:rPr lang="en-AU" sz="800" b="0" i="0" u="none" strike="noStrike" baseline="-25000">
              <a:solidFill>
                <a:srgbClr val="000000"/>
              </a:solidFill>
              <a:latin typeface="Arial"/>
              <a:cs typeface="Arial"/>
            </a:rPr>
            <a:t>3</a:t>
          </a:r>
          <a:r>
            <a:rPr lang="en-AU" sz="800" b="0" i="0" u="none" strike="noStrike" baseline="0">
              <a:solidFill>
                <a:srgbClr val="000000"/>
              </a:solidFill>
              <a:latin typeface="Arial"/>
              <a:cs typeface="Arial"/>
            </a:rPr>
            <a:t> =&gt; CaO + CO</a:t>
          </a:r>
          <a:r>
            <a:rPr lang="en-AU" sz="800" b="0" i="0" u="none" strike="noStrike" baseline="-25000">
              <a:solidFill>
                <a:srgbClr val="000000"/>
              </a:solidFill>
              <a:latin typeface="Arial"/>
              <a:cs typeface="Arial"/>
            </a:rPr>
            <a:t>2</a:t>
          </a:r>
        </a:p>
      </xdr:txBody>
    </xdr:sp>
    <xdr:clientData/>
  </xdr:twoCellAnchor>
  <xdr:twoCellAnchor>
    <xdr:from>
      <xdr:col>4</xdr:col>
      <xdr:colOff>619125</xdr:colOff>
      <xdr:row>85</xdr:row>
      <xdr:rowOff>133350</xdr:rowOff>
    </xdr:from>
    <xdr:to>
      <xdr:col>6</xdr:col>
      <xdr:colOff>733425</xdr:colOff>
      <xdr:row>89</xdr:row>
      <xdr:rowOff>95250</xdr:rowOff>
    </xdr:to>
    <xdr:sp macro="" textlink="">
      <xdr:nvSpPr>
        <xdr:cNvPr id="487738" name="AutoShape 282"/>
        <xdr:cNvSpPr>
          <a:spLocks noChangeArrowheads="1"/>
        </xdr:cNvSpPr>
      </xdr:nvSpPr>
      <xdr:spPr bwMode="auto">
        <a:xfrm rot="5400000">
          <a:off x="4124325" y="16068675"/>
          <a:ext cx="723900" cy="1638300"/>
        </a:xfrm>
        <a:prstGeom prst="can">
          <a:avLst>
            <a:gd name="adj" fmla="val 56579"/>
          </a:avLst>
        </a:prstGeom>
        <a:solidFill>
          <a:srgbClr val="CCFFCC"/>
        </a:solidFill>
        <a:ln w="9525">
          <a:solidFill>
            <a:srgbClr val="000000"/>
          </a:solidFill>
          <a:round/>
          <a:headEnd/>
          <a:tailEnd/>
        </a:ln>
      </xdr:spPr>
    </xdr:sp>
    <xdr:clientData/>
  </xdr:twoCellAnchor>
  <xdr:twoCellAnchor>
    <xdr:from>
      <xdr:col>7</xdr:col>
      <xdr:colOff>76200</xdr:colOff>
      <xdr:row>87</xdr:row>
      <xdr:rowOff>0</xdr:rowOff>
    </xdr:from>
    <xdr:to>
      <xdr:col>7</xdr:col>
      <xdr:colOff>714375</xdr:colOff>
      <xdr:row>88</xdr:row>
      <xdr:rowOff>38100</xdr:rowOff>
    </xdr:to>
    <xdr:sp macro="" textlink="">
      <xdr:nvSpPr>
        <xdr:cNvPr id="1307" name="Text Box 283"/>
        <xdr:cNvSpPr txBox="1">
          <a:spLocks noChangeArrowheads="1"/>
        </xdr:cNvSpPr>
      </xdr:nvSpPr>
      <xdr:spPr bwMode="auto">
        <a:xfrm>
          <a:off x="5410200" y="16773525"/>
          <a:ext cx="638175" cy="228600"/>
        </a:xfrm>
        <a:prstGeom prst="rect">
          <a:avLst/>
        </a:prstGeom>
        <a:noFill/>
        <a:ln w="9525">
          <a:no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Clinker</a:t>
          </a:r>
        </a:p>
      </xdr:txBody>
    </xdr:sp>
    <xdr:clientData/>
  </xdr:twoCellAnchor>
  <xdr:twoCellAnchor>
    <xdr:from>
      <xdr:col>7</xdr:col>
      <xdr:colOff>542925</xdr:colOff>
      <xdr:row>82</xdr:row>
      <xdr:rowOff>57150</xdr:rowOff>
    </xdr:from>
    <xdr:to>
      <xdr:col>8</xdr:col>
      <xdr:colOff>190500</xdr:colOff>
      <xdr:row>83</xdr:row>
      <xdr:rowOff>171450</xdr:rowOff>
    </xdr:to>
    <xdr:sp macro="" textlink="">
      <xdr:nvSpPr>
        <xdr:cNvPr id="1308" name="Text Box 284"/>
        <xdr:cNvSpPr txBox="1">
          <a:spLocks noChangeArrowheads="1"/>
        </xdr:cNvSpPr>
      </xdr:nvSpPr>
      <xdr:spPr bwMode="auto">
        <a:xfrm>
          <a:off x="5876925" y="15878175"/>
          <a:ext cx="40957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CO</a:t>
          </a:r>
          <a:r>
            <a:rPr lang="en-AU" sz="1000" b="0" i="0" u="none" strike="noStrike" baseline="-25000">
              <a:solidFill>
                <a:srgbClr val="000000"/>
              </a:solidFill>
              <a:latin typeface="Arial"/>
              <a:cs typeface="Arial"/>
            </a:rPr>
            <a:t>2</a:t>
          </a:r>
        </a:p>
      </xdr:txBody>
    </xdr:sp>
    <xdr:clientData/>
  </xdr:twoCellAnchor>
  <xdr:twoCellAnchor>
    <xdr:from>
      <xdr:col>6</xdr:col>
      <xdr:colOff>57150</xdr:colOff>
      <xdr:row>82</xdr:row>
      <xdr:rowOff>180975</xdr:rowOff>
    </xdr:from>
    <xdr:to>
      <xdr:col>6</xdr:col>
      <xdr:colOff>66675</xdr:colOff>
      <xdr:row>85</xdr:row>
      <xdr:rowOff>133350</xdr:rowOff>
    </xdr:to>
    <xdr:sp macro="" textlink="">
      <xdr:nvSpPr>
        <xdr:cNvPr id="487741" name="Line 285"/>
        <xdr:cNvSpPr>
          <a:spLocks noChangeShapeType="1"/>
        </xdr:cNvSpPr>
      </xdr:nvSpPr>
      <xdr:spPr bwMode="auto">
        <a:xfrm flipV="1">
          <a:off x="4629150" y="16002000"/>
          <a:ext cx="95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82</xdr:row>
      <xdr:rowOff>180975</xdr:rowOff>
    </xdr:from>
    <xdr:to>
      <xdr:col>7</xdr:col>
      <xdr:colOff>514350</xdr:colOff>
      <xdr:row>82</xdr:row>
      <xdr:rowOff>180975</xdr:rowOff>
    </xdr:to>
    <xdr:sp macro="" textlink="">
      <xdr:nvSpPr>
        <xdr:cNvPr id="487742" name="Line 286"/>
        <xdr:cNvSpPr>
          <a:spLocks noChangeShapeType="1"/>
        </xdr:cNvSpPr>
      </xdr:nvSpPr>
      <xdr:spPr bwMode="auto">
        <a:xfrm>
          <a:off x="4629150" y="16002000"/>
          <a:ext cx="1219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361950</xdr:colOff>
      <xdr:row>87</xdr:row>
      <xdr:rowOff>9525</xdr:rowOff>
    </xdr:from>
    <xdr:to>
      <xdr:col>7</xdr:col>
      <xdr:colOff>85725</xdr:colOff>
      <xdr:row>88</xdr:row>
      <xdr:rowOff>38100</xdr:rowOff>
    </xdr:to>
    <xdr:sp macro="" textlink="">
      <xdr:nvSpPr>
        <xdr:cNvPr id="487743" name="AutoShape 287"/>
        <xdr:cNvSpPr>
          <a:spLocks noChangeArrowheads="1"/>
        </xdr:cNvSpPr>
      </xdr:nvSpPr>
      <xdr:spPr bwMode="auto">
        <a:xfrm>
          <a:off x="4933950" y="16783050"/>
          <a:ext cx="485775" cy="219075"/>
        </a:xfrm>
        <a:prstGeom prst="rightArrow">
          <a:avLst>
            <a:gd name="adj1" fmla="val 50000"/>
            <a:gd name="adj2" fmla="val 55435"/>
          </a:avLst>
        </a:prstGeom>
        <a:solidFill>
          <a:srgbClr val="FFFFFF"/>
        </a:solidFill>
        <a:ln w="9525">
          <a:solidFill>
            <a:srgbClr val="000000"/>
          </a:solidFill>
          <a:miter lim="800000"/>
          <a:headEnd/>
          <a:tailEnd/>
        </a:ln>
      </xdr:spPr>
    </xdr:sp>
    <xdr:clientData/>
  </xdr:twoCellAnchor>
  <xdr:twoCellAnchor>
    <xdr:from>
      <xdr:col>4</xdr:col>
      <xdr:colOff>666750</xdr:colOff>
      <xdr:row>85</xdr:row>
      <xdr:rowOff>161925</xdr:rowOff>
    </xdr:from>
    <xdr:to>
      <xdr:col>6</xdr:col>
      <xdr:colOff>409575</xdr:colOff>
      <xdr:row>88</xdr:row>
      <xdr:rowOff>180975</xdr:rowOff>
    </xdr:to>
    <xdr:sp macro="" textlink="">
      <xdr:nvSpPr>
        <xdr:cNvPr id="1312" name="Text Box 288"/>
        <xdr:cNvSpPr txBox="1">
          <a:spLocks noChangeArrowheads="1"/>
        </xdr:cNvSpPr>
      </xdr:nvSpPr>
      <xdr:spPr bwMode="auto">
        <a:xfrm>
          <a:off x="3714750" y="16554450"/>
          <a:ext cx="1266825" cy="590550"/>
        </a:xfrm>
        <a:prstGeom prst="rect">
          <a:avLst/>
        </a:prstGeom>
        <a:noFill/>
        <a:ln w="9525">
          <a:noFill/>
          <a:miter lim="800000"/>
          <a:headEnd/>
          <a:tailEnd/>
        </a:ln>
      </xdr:spPr>
      <xdr:txBody>
        <a:bodyPr vertOverflow="clip" wrap="square" lIns="36576" tIns="22860" rIns="36576" bIns="0" anchor="t" upright="1"/>
        <a:lstStyle/>
        <a:p>
          <a:pPr algn="ctr" rtl="0">
            <a:defRPr sz="1000"/>
          </a:pPr>
          <a:endParaRPr lang="en-AU" sz="1200" b="0" i="0" u="none" strike="noStrike" baseline="0">
            <a:solidFill>
              <a:srgbClr val="000000"/>
            </a:solidFill>
            <a:latin typeface="Arial"/>
            <a:cs typeface="Arial"/>
          </a:endParaRPr>
        </a:p>
        <a:p>
          <a:pPr algn="ctr" rtl="0">
            <a:defRPr sz="1000"/>
          </a:pPr>
          <a:r>
            <a:rPr lang="en-AU" sz="1200" b="0" i="0" u="none" strike="noStrike" baseline="0">
              <a:solidFill>
                <a:srgbClr val="000000"/>
              </a:solidFill>
              <a:latin typeface="Arial"/>
              <a:cs typeface="Arial"/>
            </a:rPr>
            <a:t>Rotary kiln</a:t>
          </a:r>
        </a:p>
      </xdr:txBody>
    </xdr:sp>
    <xdr:clientData/>
  </xdr:twoCellAnchor>
  <xdr:twoCellAnchor>
    <xdr:from>
      <xdr:col>7</xdr:col>
      <xdr:colOff>714375</xdr:colOff>
      <xdr:row>87</xdr:row>
      <xdr:rowOff>9525</xdr:rowOff>
    </xdr:from>
    <xdr:to>
      <xdr:col>9</xdr:col>
      <xdr:colOff>76200</xdr:colOff>
      <xdr:row>88</xdr:row>
      <xdr:rowOff>28575</xdr:rowOff>
    </xdr:to>
    <xdr:sp macro="" textlink="">
      <xdr:nvSpPr>
        <xdr:cNvPr id="487745" name="AutoShape 289"/>
        <xdr:cNvSpPr>
          <a:spLocks noChangeArrowheads="1"/>
        </xdr:cNvSpPr>
      </xdr:nvSpPr>
      <xdr:spPr bwMode="auto">
        <a:xfrm>
          <a:off x="6048375" y="16783050"/>
          <a:ext cx="885825" cy="209550"/>
        </a:xfrm>
        <a:prstGeom prst="rightArrow">
          <a:avLst>
            <a:gd name="adj1" fmla="val 50000"/>
            <a:gd name="adj2" fmla="val 105682"/>
          </a:avLst>
        </a:prstGeom>
        <a:solidFill>
          <a:srgbClr val="FFFFFF"/>
        </a:solidFill>
        <a:ln w="9525">
          <a:solidFill>
            <a:srgbClr val="000000"/>
          </a:solidFill>
          <a:miter lim="800000"/>
          <a:headEnd/>
          <a:tailEnd/>
        </a:ln>
      </xdr:spPr>
    </xdr:sp>
    <xdr:clientData/>
  </xdr:twoCellAnchor>
  <xdr:twoCellAnchor>
    <xdr:from>
      <xdr:col>0</xdr:col>
      <xdr:colOff>190500</xdr:colOff>
      <xdr:row>79</xdr:row>
      <xdr:rowOff>9525</xdr:rowOff>
    </xdr:from>
    <xdr:to>
      <xdr:col>4</xdr:col>
      <xdr:colOff>247650</xdr:colOff>
      <xdr:row>90</xdr:row>
      <xdr:rowOff>57150</xdr:rowOff>
    </xdr:to>
    <xdr:sp macro="" textlink="">
      <xdr:nvSpPr>
        <xdr:cNvPr id="1314" name="Text Box 290"/>
        <xdr:cNvSpPr txBox="1">
          <a:spLocks noChangeArrowheads="1"/>
        </xdr:cNvSpPr>
      </xdr:nvSpPr>
      <xdr:spPr bwMode="auto">
        <a:xfrm>
          <a:off x="190500" y="15259050"/>
          <a:ext cx="3105150" cy="2143125"/>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Extraction and processing of limestone</a:t>
          </a:r>
          <a:endParaRPr lang="en-AU" sz="1200" b="0" i="0" u="none" strike="noStrike" baseline="0">
            <a:solidFill>
              <a:srgbClr val="000000"/>
            </a:solidFill>
            <a:latin typeface="Arial"/>
            <a:cs typeface="Arial"/>
          </a:endParaRPr>
        </a:p>
        <a:p>
          <a:pPr algn="ctr" rtl="0">
            <a:defRPr sz="1000"/>
          </a:pPr>
          <a:r>
            <a:rPr lang="en-AU" sz="800" b="0" i="0" u="none" strike="noStrike" baseline="0">
              <a:solidFill>
                <a:srgbClr val="000000"/>
              </a:solidFill>
              <a:latin typeface="Arial"/>
              <a:cs typeface="Arial"/>
            </a:rPr>
            <a:t>No reactions: mainly physical processes</a:t>
          </a:r>
        </a:p>
      </xdr:txBody>
    </xdr:sp>
    <xdr:clientData/>
  </xdr:twoCellAnchor>
  <xdr:twoCellAnchor>
    <xdr:from>
      <xdr:col>0</xdr:col>
      <xdr:colOff>247650</xdr:colOff>
      <xdr:row>83</xdr:row>
      <xdr:rowOff>104775</xdr:rowOff>
    </xdr:from>
    <xdr:to>
      <xdr:col>1</xdr:col>
      <xdr:colOff>285750</xdr:colOff>
      <xdr:row>84</xdr:row>
      <xdr:rowOff>171450</xdr:rowOff>
    </xdr:to>
    <xdr:sp macro="" textlink="">
      <xdr:nvSpPr>
        <xdr:cNvPr id="1315" name="Text Box 291"/>
        <xdr:cNvSpPr txBox="1">
          <a:spLocks noChangeArrowheads="1"/>
        </xdr:cNvSpPr>
      </xdr:nvSpPr>
      <xdr:spPr bwMode="auto">
        <a:xfrm>
          <a:off x="247650" y="16116300"/>
          <a:ext cx="800100" cy="257175"/>
        </a:xfrm>
        <a:prstGeom prst="rect">
          <a:avLst/>
        </a:prstGeom>
        <a:solidFill>
          <a:srgbClr val="C0C0C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Limestone</a:t>
          </a:r>
        </a:p>
      </xdr:txBody>
    </xdr:sp>
    <xdr:clientData/>
  </xdr:twoCellAnchor>
  <xdr:twoCellAnchor>
    <xdr:from>
      <xdr:col>1</xdr:col>
      <xdr:colOff>428625</xdr:colOff>
      <xdr:row>82</xdr:row>
      <xdr:rowOff>104775</xdr:rowOff>
    </xdr:from>
    <xdr:to>
      <xdr:col>2</xdr:col>
      <xdr:colOff>400050</xdr:colOff>
      <xdr:row>84</xdr:row>
      <xdr:rowOff>171450</xdr:rowOff>
    </xdr:to>
    <xdr:sp macro="" textlink="">
      <xdr:nvSpPr>
        <xdr:cNvPr id="1316" name="Text Box 292"/>
        <xdr:cNvSpPr txBox="1">
          <a:spLocks noChangeArrowheads="1"/>
        </xdr:cNvSpPr>
      </xdr:nvSpPr>
      <xdr:spPr bwMode="auto">
        <a:xfrm>
          <a:off x="1190625" y="15925800"/>
          <a:ext cx="733425" cy="447675"/>
        </a:xfrm>
        <a:prstGeom prst="rect">
          <a:avLst/>
        </a:prstGeom>
        <a:solidFill>
          <a:srgbClr val="FFCC0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Slag, shale</a:t>
          </a:r>
        </a:p>
      </xdr:txBody>
    </xdr:sp>
    <xdr:clientData/>
  </xdr:twoCellAnchor>
  <xdr:twoCellAnchor>
    <xdr:from>
      <xdr:col>2</xdr:col>
      <xdr:colOff>533400</xdr:colOff>
      <xdr:row>83</xdr:row>
      <xdr:rowOff>133350</xdr:rowOff>
    </xdr:from>
    <xdr:to>
      <xdr:col>4</xdr:col>
      <xdr:colOff>142875</xdr:colOff>
      <xdr:row>84</xdr:row>
      <xdr:rowOff>171450</xdr:rowOff>
    </xdr:to>
    <xdr:sp macro="" textlink="">
      <xdr:nvSpPr>
        <xdr:cNvPr id="1317" name="Text Box 293"/>
        <xdr:cNvSpPr txBox="1">
          <a:spLocks noChangeArrowheads="1"/>
        </xdr:cNvSpPr>
      </xdr:nvSpPr>
      <xdr:spPr bwMode="auto">
        <a:xfrm>
          <a:off x="2057400" y="16144875"/>
          <a:ext cx="1133475" cy="228600"/>
        </a:xfrm>
        <a:prstGeom prst="rect">
          <a:avLst/>
        </a:prstGeom>
        <a:solidFill>
          <a:srgbClr val="D2460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Other minerals</a:t>
          </a:r>
        </a:p>
      </xdr:txBody>
    </xdr:sp>
    <xdr:clientData/>
  </xdr:twoCellAnchor>
  <xdr:twoCellAnchor>
    <xdr:from>
      <xdr:col>1</xdr:col>
      <xdr:colOff>19050</xdr:colOff>
      <xdr:row>86</xdr:row>
      <xdr:rowOff>57150</xdr:rowOff>
    </xdr:from>
    <xdr:to>
      <xdr:col>2</xdr:col>
      <xdr:colOff>695325</xdr:colOff>
      <xdr:row>89</xdr:row>
      <xdr:rowOff>161925</xdr:rowOff>
    </xdr:to>
    <xdr:grpSp>
      <xdr:nvGrpSpPr>
        <xdr:cNvPr id="487750" name="Group 294"/>
        <xdr:cNvGrpSpPr>
          <a:grpSpLocks/>
        </xdr:cNvGrpSpPr>
      </xdr:nvGrpSpPr>
      <xdr:grpSpPr bwMode="auto">
        <a:xfrm>
          <a:off x="781050" y="16640175"/>
          <a:ext cx="1438275" cy="676275"/>
          <a:chOff x="101" y="346"/>
          <a:chExt cx="155" cy="70"/>
        </a:xfrm>
      </xdr:grpSpPr>
      <xdr:sp macro="" textlink="">
        <xdr:nvSpPr>
          <xdr:cNvPr id="487824" name="AutoShape 295"/>
          <xdr:cNvSpPr>
            <a:spLocks noChangeArrowheads="1"/>
          </xdr:cNvSpPr>
        </xdr:nvSpPr>
        <xdr:spPr bwMode="auto">
          <a:xfrm>
            <a:off x="103" y="346"/>
            <a:ext cx="149" cy="70"/>
          </a:xfrm>
          <a:prstGeom prst="roundRect">
            <a:avLst>
              <a:gd name="adj" fmla="val 16667"/>
            </a:avLst>
          </a:prstGeom>
          <a:solidFill>
            <a:srgbClr val="CCFFCC"/>
          </a:solidFill>
          <a:ln w="9525">
            <a:solidFill>
              <a:srgbClr val="000000"/>
            </a:solidFill>
            <a:round/>
            <a:headEnd/>
            <a:tailEnd/>
          </a:ln>
        </xdr:spPr>
      </xdr:sp>
      <xdr:sp macro="" textlink="">
        <xdr:nvSpPr>
          <xdr:cNvPr id="1320" name="Text Box 296"/>
          <xdr:cNvSpPr txBox="1">
            <a:spLocks noChangeArrowheads="1"/>
          </xdr:cNvSpPr>
        </xdr:nvSpPr>
        <xdr:spPr bwMode="auto">
          <a:xfrm>
            <a:off x="101" y="348"/>
            <a:ext cx="155" cy="66"/>
          </a:xfrm>
          <a:prstGeom prst="rect">
            <a:avLst/>
          </a:prstGeom>
          <a:noFill/>
          <a:ln w="9525">
            <a:no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Quarrying, transporting, grinding and mixing</a:t>
            </a:r>
          </a:p>
        </xdr:txBody>
      </xdr:sp>
    </xdr:grpSp>
    <xdr:clientData/>
  </xdr:twoCellAnchor>
  <xdr:twoCellAnchor>
    <xdr:from>
      <xdr:col>3</xdr:col>
      <xdr:colOff>47625</xdr:colOff>
      <xdr:row>86</xdr:row>
      <xdr:rowOff>85725</xdr:rowOff>
    </xdr:from>
    <xdr:to>
      <xdr:col>4</xdr:col>
      <xdr:colOff>95250</xdr:colOff>
      <xdr:row>87</xdr:row>
      <xdr:rowOff>114300</xdr:rowOff>
    </xdr:to>
    <xdr:sp macro="" textlink="">
      <xdr:nvSpPr>
        <xdr:cNvPr id="1321" name="Text Box 297"/>
        <xdr:cNvSpPr txBox="1">
          <a:spLocks noChangeArrowheads="1"/>
        </xdr:cNvSpPr>
      </xdr:nvSpPr>
      <xdr:spPr bwMode="auto">
        <a:xfrm>
          <a:off x="2333625" y="16668750"/>
          <a:ext cx="809625" cy="219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CaCO</a:t>
          </a:r>
          <a:r>
            <a:rPr lang="en-AU" sz="1000" b="1" i="0" u="none" strike="noStrike" baseline="-25000">
              <a:solidFill>
                <a:srgbClr val="000000"/>
              </a:solidFill>
              <a:latin typeface="Arial"/>
              <a:cs typeface="Arial"/>
            </a:rPr>
            <a:t>3 </a:t>
          </a:r>
          <a:r>
            <a:rPr lang="en-AU" sz="1000" b="1" i="0" u="none" strike="noStrike" baseline="0">
              <a:solidFill>
                <a:srgbClr val="000000"/>
              </a:solidFill>
              <a:latin typeface="Arial"/>
              <a:cs typeface="Arial"/>
            </a:rPr>
            <a:t>etc.</a:t>
          </a:r>
        </a:p>
      </xdr:txBody>
    </xdr:sp>
    <xdr:clientData/>
  </xdr:twoCellAnchor>
  <xdr:twoCellAnchor>
    <xdr:from>
      <xdr:col>0</xdr:col>
      <xdr:colOff>571500</xdr:colOff>
      <xdr:row>84</xdr:row>
      <xdr:rowOff>180975</xdr:rowOff>
    </xdr:from>
    <xdr:to>
      <xdr:col>1</xdr:col>
      <xdr:colOff>171450</xdr:colOff>
      <xdr:row>86</xdr:row>
      <xdr:rowOff>47625</xdr:rowOff>
    </xdr:to>
    <xdr:sp macro="" textlink="">
      <xdr:nvSpPr>
        <xdr:cNvPr id="487752" name="Line 298"/>
        <xdr:cNvSpPr>
          <a:spLocks noChangeShapeType="1"/>
        </xdr:cNvSpPr>
      </xdr:nvSpPr>
      <xdr:spPr bwMode="auto">
        <a:xfrm>
          <a:off x="571500" y="16383000"/>
          <a:ext cx="36195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84</xdr:row>
      <xdr:rowOff>180975</xdr:rowOff>
    </xdr:from>
    <xdr:to>
      <xdr:col>3</xdr:col>
      <xdr:colOff>161925</xdr:colOff>
      <xdr:row>86</xdr:row>
      <xdr:rowOff>66675</xdr:rowOff>
    </xdr:to>
    <xdr:sp macro="" textlink="">
      <xdr:nvSpPr>
        <xdr:cNvPr id="487753" name="Line 299"/>
        <xdr:cNvSpPr>
          <a:spLocks noChangeShapeType="1"/>
        </xdr:cNvSpPr>
      </xdr:nvSpPr>
      <xdr:spPr bwMode="auto">
        <a:xfrm flipH="1">
          <a:off x="2057400" y="16383000"/>
          <a:ext cx="390525"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84</xdr:row>
      <xdr:rowOff>180975</xdr:rowOff>
    </xdr:from>
    <xdr:to>
      <xdr:col>2</xdr:col>
      <xdr:colOff>38100</xdr:colOff>
      <xdr:row>86</xdr:row>
      <xdr:rowOff>57150</xdr:rowOff>
    </xdr:to>
    <xdr:sp macro="" textlink="">
      <xdr:nvSpPr>
        <xdr:cNvPr id="487754" name="Line 300"/>
        <xdr:cNvSpPr>
          <a:spLocks noChangeShapeType="1"/>
        </xdr:cNvSpPr>
      </xdr:nvSpPr>
      <xdr:spPr bwMode="auto">
        <a:xfrm>
          <a:off x="1562100" y="1638300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180975</xdr:colOff>
      <xdr:row>67</xdr:row>
      <xdr:rowOff>142875</xdr:rowOff>
    </xdr:from>
    <xdr:to>
      <xdr:col>4</xdr:col>
      <xdr:colOff>247650</xdr:colOff>
      <xdr:row>78</xdr:row>
      <xdr:rowOff>57150</xdr:rowOff>
    </xdr:to>
    <xdr:sp macro="" textlink="">
      <xdr:nvSpPr>
        <xdr:cNvPr id="1325" name="Text Box 301"/>
        <xdr:cNvSpPr txBox="1">
          <a:spLocks noChangeArrowheads="1"/>
        </xdr:cNvSpPr>
      </xdr:nvSpPr>
      <xdr:spPr bwMode="auto">
        <a:xfrm>
          <a:off x="180975" y="13106400"/>
          <a:ext cx="3114675" cy="2009775"/>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Extraction and processing of Magnesite</a:t>
          </a:r>
          <a:endParaRPr lang="en-AU" sz="1200" b="0" i="0" u="none" strike="noStrike" baseline="0">
            <a:solidFill>
              <a:srgbClr val="000000"/>
            </a:solidFill>
            <a:latin typeface="Arial"/>
            <a:cs typeface="Arial"/>
          </a:endParaRPr>
        </a:p>
        <a:p>
          <a:pPr algn="ctr" rtl="0">
            <a:defRPr sz="1000"/>
          </a:pPr>
          <a:r>
            <a:rPr lang="en-AU" sz="800" b="0" i="0" u="none" strike="noStrike" baseline="0">
              <a:solidFill>
                <a:srgbClr val="000000"/>
              </a:solidFill>
              <a:latin typeface="Arial"/>
              <a:cs typeface="Arial"/>
            </a:rPr>
            <a:t>No reactions: mainly physical processes</a:t>
          </a:r>
        </a:p>
      </xdr:txBody>
    </xdr:sp>
    <xdr:clientData/>
  </xdr:twoCellAnchor>
  <xdr:twoCellAnchor>
    <xdr:from>
      <xdr:col>0</xdr:col>
      <xdr:colOff>285750</xdr:colOff>
      <xdr:row>71</xdr:row>
      <xdr:rowOff>114300</xdr:rowOff>
    </xdr:from>
    <xdr:to>
      <xdr:col>1</xdr:col>
      <xdr:colOff>323850</xdr:colOff>
      <xdr:row>72</xdr:row>
      <xdr:rowOff>171450</xdr:rowOff>
    </xdr:to>
    <xdr:sp macro="" textlink="">
      <xdr:nvSpPr>
        <xdr:cNvPr id="1326" name="Text Box 302"/>
        <xdr:cNvSpPr txBox="1">
          <a:spLocks noChangeArrowheads="1"/>
        </xdr:cNvSpPr>
      </xdr:nvSpPr>
      <xdr:spPr bwMode="auto">
        <a:xfrm>
          <a:off x="285750" y="13839825"/>
          <a:ext cx="800100" cy="247650"/>
        </a:xfrm>
        <a:prstGeom prst="rect">
          <a:avLst/>
        </a:prstGeom>
        <a:solidFill>
          <a:srgbClr val="C0C0C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Magnesite</a:t>
          </a:r>
        </a:p>
      </xdr:txBody>
    </xdr:sp>
    <xdr:clientData/>
  </xdr:twoCellAnchor>
  <xdr:twoCellAnchor>
    <xdr:from>
      <xdr:col>1</xdr:col>
      <xdr:colOff>447675</xdr:colOff>
      <xdr:row>71</xdr:row>
      <xdr:rowOff>114300</xdr:rowOff>
    </xdr:from>
    <xdr:to>
      <xdr:col>2</xdr:col>
      <xdr:colOff>514350</xdr:colOff>
      <xdr:row>72</xdr:row>
      <xdr:rowOff>171450</xdr:rowOff>
    </xdr:to>
    <xdr:sp macro="" textlink="">
      <xdr:nvSpPr>
        <xdr:cNvPr id="1327" name="Text Box 303"/>
        <xdr:cNvSpPr txBox="1">
          <a:spLocks noChangeArrowheads="1"/>
        </xdr:cNvSpPr>
      </xdr:nvSpPr>
      <xdr:spPr bwMode="auto">
        <a:xfrm>
          <a:off x="1209675" y="13839825"/>
          <a:ext cx="828675" cy="247650"/>
        </a:xfrm>
        <a:prstGeom prst="rect">
          <a:avLst/>
        </a:prstGeom>
        <a:solidFill>
          <a:srgbClr val="FFCC00"/>
        </a:solidFill>
        <a:ln w="9525">
          <a:solidFill>
            <a:srgbClr val="000000"/>
          </a:solid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Impurities</a:t>
          </a:r>
        </a:p>
      </xdr:txBody>
    </xdr:sp>
    <xdr:clientData/>
  </xdr:twoCellAnchor>
  <xdr:twoCellAnchor>
    <xdr:from>
      <xdr:col>1</xdr:col>
      <xdr:colOff>9525</xdr:colOff>
      <xdr:row>74</xdr:row>
      <xdr:rowOff>66675</xdr:rowOff>
    </xdr:from>
    <xdr:to>
      <xdr:col>2</xdr:col>
      <xdr:colOff>714375</xdr:colOff>
      <xdr:row>77</xdr:row>
      <xdr:rowOff>152400</xdr:rowOff>
    </xdr:to>
    <xdr:grpSp>
      <xdr:nvGrpSpPr>
        <xdr:cNvPr id="487758" name="Group 304"/>
        <xdr:cNvGrpSpPr>
          <a:grpSpLocks/>
        </xdr:cNvGrpSpPr>
      </xdr:nvGrpSpPr>
      <xdr:grpSpPr bwMode="auto">
        <a:xfrm>
          <a:off x="771525" y="14363700"/>
          <a:ext cx="1466850" cy="657225"/>
          <a:chOff x="101" y="346"/>
          <a:chExt cx="155" cy="70"/>
        </a:xfrm>
      </xdr:grpSpPr>
      <xdr:sp macro="" textlink="">
        <xdr:nvSpPr>
          <xdr:cNvPr id="487822" name="AutoShape 305"/>
          <xdr:cNvSpPr>
            <a:spLocks noChangeArrowheads="1"/>
          </xdr:cNvSpPr>
        </xdr:nvSpPr>
        <xdr:spPr bwMode="auto">
          <a:xfrm>
            <a:off x="103" y="346"/>
            <a:ext cx="149" cy="70"/>
          </a:xfrm>
          <a:prstGeom prst="roundRect">
            <a:avLst>
              <a:gd name="adj" fmla="val 16667"/>
            </a:avLst>
          </a:prstGeom>
          <a:solidFill>
            <a:srgbClr val="CCFFCC"/>
          </a:solidFill>
          <a:ln w="9525">
            <a:solidFill>
              <a:srgbClr val="000000"/>
            </a:solidFill>
            <a:round/>
            <a:headEnd/>
            <a:tailEnd/>
          </a:ln>
        </xdr:spPr>
      </xdr:sp>
      <xdr:sp macro="" textlink="">
        <xdr:nvSpPr>
          <xdr:cNvPr id="1330" name="Text Box 306"/>
          <xdr:cNvSpPr txBox="1">
            <a:spLocks noChangeArrowheads="1"/>
          </xdr:cNvSpPr>
        </xdr:nvSpPr>
        <xdr:spPr bwMode="auto">
          <a:xfrm>
            <a:off x="101" y="348"/>
            <a:ext cx="155" cy="66"/>
          </a:xfrm>
          <a:prstGeom prst="rect">
            <a:avLst/>
          </a:prstGeom>
          <a:noFill/>
          <a:ln w="9525">
            <a:noFill/>
            <a:miter lim="800000"/>
            <a:headEnd/>
            <a:tailEnd/>
          </a:ln>
        </xdr:spPr>
        <xdr:txBody>
          <a:bodyPr vertOverflow="clip" wrap="square" lIns="36576" tIns="22860" rIns="36576" bIns="0" anchor="t" upright="1"/>
          <a:lstStyle/>
          <a:p>
            <a:pPr algn="ctr" rtl="0">
              <a:defRPr sz="1000"/>
            </a:pPr>
            <a:r>
              <a:rPr lang="en-AU" sz="1200" b="0" i="0" u="none" strike="noStrike" baseline="0">
                <a:solidFill>
                  <a:srgbClr val="000000"/>
                </a:solidFill>
                <a:latin typeface="Arial"/>
                <a:cs typeface="Arial"/>
              </a:rPr>
              <a:t>Quarrying, transporting, grinding and mixing</a:t>
            </a:r>
          </a:p>
        </xdr:txBody>
      </xdr:sp>
    </xdr:grpSp>
    <xdr:clientData/>
  </xdr:twoCellAnchor>
  <xdr:twoCellAnchor>
    <xdr:from>
      <xdr:col>3</xdr:col>
      <xdr:colOff>190500</xdr:colOff>
      <xdr:row>73</xdr:row>
      <xdr:rowOff>95250</xdr:rowOff>
    </xdr:from>
    <xdr:to>
      <xdr:col>4</xdr:col>
      <xdr:colOff>200025</xdr:colOff>
      <xdr:row>75</xdr:row>
      <xdr:rowOff>123825</xdr:rowOff>
    </xdr:to>
    <xdr:sp macro="" textlink="">
      <xdr:nvSpPr>
        <xdr:cNvPr id="1331" name="Text Box 307"/>
        <xdr:cNvSpPr txBox="1">
          <a:spLocks noChangeArrowheads="1"/>
        </xdr:cNvSpPr>
      </xdr:nvSpPr>
      <xdr:spPr bwMode="auto">
        <a:xfrm>
          <a:off x="2476500" y="14201775"/>
          <a:ext cx="771525" cy="4095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MgCO</a:t>
          </a:r>
          <a:r>
            <a:rPr lang="en-AU" sz="1000" b="1" i="0" u="none" strike="noStrike" baseline="-25000">
              <a:solidFill>
                <a:srgbClr val="000000"/>
              </a:solidFill>
              <a:latin typeface="Arial"/>
              <a:cs typeface="Arial"/>
            </a:rPr>
            <a:t>3</a:t>
          </a:r>
        </a:p>
        <a:p>
          <a:pPr algn="ctr" rtl="0">
            <a:defRPr sz="1000"/>
          </a:pPr>
          <a:r>
            <a:rPr lang="en-AU" sz="1000" b="1" i="0" u="none" strike="noStrike" baseline="0">
              <a:solidFill>
                <a:srgbClr val="000000"/>
              </a:solidFill>
              <a:latin typeface="Arial"/>
              <a:cs typeface="Arial"/>
            </a:rPr>
            <a:t>etc.</a:t>
          </a:r>
        </a:p>
      </xdr:txBody>
    </xdr:sp>
    <xdr:clientData/>
  </xdr:twoCellAnchor>
  <xdr:twoCellAnchor>
    <xdr:from>
      <xdr:col>0</xdr:col>
      <xdr:colOff>619125</xdr:colOff>
      <xdr:row>72</xdr:row>
      <xdr:rowOff>180975</xdr:rowOff>
    </xdr:from>
    <xdr:to>
      <xdr:col>1</xdr:col>
      <xdr:colOff>66675</xdr:colOff>
      <xdr:row>74</xdr:row>
      <xdr:rowOff>0</xdr:rowOff>
    </xdr:to>
    <xdr:sp macro="" textlink="">
      <xdr:nvSpPr>
        <xdr:cNvPr id="487760" name="Line 308"/>
        <xdr:cNvSpPr>
          <a:spLocks noChangeShapeType="1"/>
        </xdr:cNvSpPr>
      </xdr:nvSpPr>
      <xdr:spPr bwMode="auto">
        <a:xfrm>
          <a:off x="619125" y="14097000"/>
          <a:ext cx="20955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72</xdr:row>
      <xdr:rowOff>180975</xdr:rowOff>
    </xdr:from>
    <xdr:to>
      <xdr:col>2</xdr:col>
      <xdr:colOff>85725</xdr:colOff>
      <xdr:row>74</xdr:row>
      <xdr:rowOff>9525</xdr:rowOff>
    </xdr:to>
    <xdr:sp macro="" textlink="">
      <xdr:nvSpPr>
        <xdr:cNvPr id="487761" name="Line 309"/>
        <xdr:cNvSpPr>
          <a:spLocks noChangeShapeType="1"/>
        </xdr:cNvSpPr>
      </xdr:nvSpPr>
      <xdr:spPr bwMode="auto">
        <a:xfrm>
          <a:off x="1600200" y="14097000"/>
          <a:ext cx="9525"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647700</xdr:colOff>
      <xdr:row>87</xdr:row>
      <xdr:rowOff>19050</xdr:rowOff>
    </xdr:from>
    <xdr:to>
      <xdr:col>4</xdr:col>
      <xdr:colOff>647700</xdr:colOff>
      <xdr:row>88</xdr:row>
      <xdr:rowOff>38100</xdr:rowOff>
    </xdr:to>
    <xdr:sp macro="" textlink="">
      <xdr:nvSpPr>
        <xdr:cNvPr id="487762" name="AutoShape 313"/>
        <xdr:cNvSpPr>
          <a:spLocks noChangeArrowheads="1"/>
        </xdr:cNvSpPr>
      </xdr:nvSpPr>
      <xdr:spPr bwMode="auto">
        <a:xfrm>
          <a:off x="2171700" y="16792575"/>
          <a:ext cx="1524000" cy="209550"/>
        </a:xfrm>
        <a:prstGeom prst="rightArrow">
          <a:avLst>
            <a:gd name="adj1" fmla="val 50000"/>
            <a:gd name="adj2" fmla="val 181818"/>
          </a:avLst>
        </a:prstGeom>
        <a:solidFill>
          <a:srgbClr val="FFFFFF"/>
        </a:solidFill>
        <a:ln w="9525">
          <a:solidFill>
            <a:srgbClr val="000000"/>
          </a:solidFill>
          <a:miter lim="800000"/>
          <a:headEnd/>
          <a:tailEnd/>
        </a:ln>
      </xdr:spPr>
    </xdr:sp>
    <xdr:clientData/>
  </xdr:twoCellAnchor>
  <xdr:twoCellAnchor>
    <xdr:from>
      <xdr:col>3</xdr:col>
      <xdr:colOff>0</xdr:colOff>
      <xdr:row>63</xdr:row>
      <xdr:rowOff>171450</xdr:rowOff>
    </xdr:from>
    <xdr:to>
      <xdr:col>5</xdr:col>
      <xdr:colOff>257175</xdr:colOff>
      <xdr:row>64</xdr:row>
      <xdr:rowOff>133350</xdr:rowOff>
    </xdr:to>
    <xdr:sp macro="" textlink="">
      <xdr:nvSpPr>
        <xdr:cNvPr id="487763" name="AutoShape 314"/>
        <xdr:cNvSpPr>
          <a:spLocks noChangeArrowheads="1"/>
        </xdr:cNvSpPr>
      </xdr:nvSpPr>
      <xdr:spPr bwMode="auto">
        <a:xfrm rot="608682">
          <a:off x="2286000" y="12372975"/>
          <a:ext cx="1781175" cy="152400"/>
        </a:xfrm>
        <a:prstGeom prst="rightArrow">
          <a:avLst>
            <a:gd name="adj1" fmla="val 50000"/>
            <a:gd name="adj2" fmla="val 292188"/>
          </a:avLst>
        </a:prstGeom>
        <a:solidFill>
          <a:srgbClr val="FFFFFF"/>
        </a:solidFill>
        <a:ln w="9525">
          <a:solidFill>
            <a:srgbClr val="000000"/>
          </a:solidFill>
          <a:miter lim="800000"/>
          <a:headEnd/>
          <a:tailEnd/>
        </a:ln>
      </xdr:spPr>
    </xdr:sp>
    <xdr:clientData/>
  </xdr:twoCellAnchor>
  <xdr:twoCellAnchor>
    <xdr:from>
      <xdr:col>2</xdr:col>
      <xdr:colOff>495300</xdr:colOff>
      <xdr:row>71</xdr:row>
      <xdr:rowOff>28575</xdr:rowOff>
    </xdr:from>
    <xdr:to>
      <xdr:col>5</xdr:col>
      <xdr:colOff>66675</xdr:colOff>
      <xdr:row>71</xdr:row>
      <xdr:rowOff>171450</xdr:rowOff>
    </xdr:to>
    <xdr:sp macro="" textlink="">
      <xdr:nvSpPr>
        <xdr:cNvPr id="487764" name="AutoShape 315"/>
        <xdr:cNvSpPr>
          <a:spLocks noChangeArrowheads="1"/>
        </xdr:cNvSpPr>
      </xdr:nvSpPr>
      <xdr:spPr bwMode="auto">
        <a:xfrm rot="-2586209">
          <a:off x="2019300" y="13754100"/>
          <a:ext cx="1857375" cy="142875"/>
        </a:xfrm>
        <a:prstGeom prst="rightArrow">
          <a:avLst>
            <a:gd name="adj1" fmla="val 50000"/>
            <a:gd name="adj2" fmla="val 325000"/>
          </a:avLst>
        </a:prstGeom>
        <a:solidFill>
          <a:srgbClr val="FFFFFF"/>
        </a:solidFill>
        <a:ln w="9525">
          <a:solidFill>
            <a:srgbClr val="000000"/>
          </a:solidFill>
          <a:miter lim="800000"/>
          <a:headEnd/>
          <a:tailEnd/>
        </a:ln>
      </xdr:spPr>
    </xdr:sp>
    <xdr:clientData/>
  </xdr:twoCellAnchor>
  <xdr:twoCellAnchor>
    <xdr:from>
      <xdr:col>4</xdr:col>
      <xdr:colOff>457200</xdr:colOff>
      <xdr:row>69</xdr:row>
      <xdr:rowOff>114300</xdr:rowOff>
    </xdr:from>
    <xdr:to>
      <xdr:col>12</xdr:col>
      <xdr:colOff>733425</xdr:colOff>
      <xdr:row>76</xdr:row>
      <xdr:rowOff>76200</xdr:rowOff>
    </xdr:to>
    <xdr:sp macro="" textlink="">
      <xdr:nvSpPr>
        <xdr:cNvPr id="1359" name="Text Box 335"/>
        <xdr:cNvSpPr txBox="1">
          <a:spLocks noChangeArrowheads="1"/>
        </xdr:cNvSpPr>
      </xdr:nvSpPr>
      <xdr:spPr bwMode="auto">
        <a:xfrm>
          <a:off x="3505200" y="13458825"/>
          <a:ext cx="6372225" cy="1295400"/>
        </a:xfrm>
        <a:prstGeom prst="rect">
          <a:avLst/>
        </a:prstGeom>
        <a:solidFill>
          <a:srgbClr val="FFFFFF"/>
        </a:solidFill>
        <a:ln w="25400" cmpd="thinThick">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The TecEco kiln features closed system all in the one vessal calcination and grinding.</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Grinding occurs at the same time as calcining resulting in heat generated being applied to calcining. All emissions are captured.</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As the TecEco kiln is state of the art, it is compared to very efficient multi cyclone heat exchanger state of the art Portland cement kilns.</a:t>
          </a:r>
        </a:p>
      </xdr:txBody>
    </xdr:sp>
    <xdr:clientData/>
  </xdr:twoCellAnchor>
  <xdr:twoCellAnchor>
    <xdr:from>
      <xdr:col>4</xdr:col>
      <xdr:colOff>342900</xdr:colOff>
      <xdr:row>76</xdr:row>
      <xdr:rowOff>180975</xdr:rowOff>
    </xdr:from>
    <xdr:to>
      <xdr:col>9</xdr:col>
      <xdr:colOff>219075</xdr:colOff>
      <xdr:row>79</xdr:row>
      <xdr:rowOff>66675</xdr:rowOff>
    </xdr:to>
    <xdr:sp macro="" textlink="">
      <xdr:nvSpPr>
        <xdr:cNvPr id="1360" name="Text Box 336"/>
        <xdr:cNvSpPr txBox="1">
          <a:spLocks noChangeArrowheads="1"/>
        </xdr:cNvSpPr>
      </xdr:nvSpPr>
      <xdr:spPr bwMode="auto">
        <a:xfrm>
          <a:off x="3390900" y="14859000"/>
          <a:ext cx="3686175" cy="457200"/>
        </a:xfrm>
        <a:prstGeom prst="rect">
          <a:avLst/>
        </a:prstGeom>
        <a:noFill/>
        <a:ln w="9525">
          <a:noFill/>
          <a:miter lim="800000"/>
          <a:headEnd/>
          <a:tailEnd/>
        </a:ln>
      </xdr:spPr>
      <xdr:txBody>
        <a:bodyPr vertOverflow="clip" wrap="square" lIns="54864" tIns="59436" rIns="0" bIns="0" anchor="t" upright="1"/>
        <a:lstStyle/>
        <a:p>
          <a:pPr algn="l" rtl="0">
            <a:defRPr sz="1000"/>
          </a:pPr>
          <a:r>
            <a:rPr lang="en-AU" sz="2000" b="0" i="0" u="none" strike="noStrike" baseline="0">
              <a:solidFill>
                <a:srgbClr val="000000"/>
              </a:solidFill>
              <a:latin typeface="Arial Black"/>
            </a:rPr>
            <a:t>Portland Cement Process</a:t>
          </a:r>
        </a:p>
      </xdr:txBody>
    </xdr:sp>
    <xdr:clientData/>
  </xdr:twoCellAnchor>
  <xdr:twoCellAnchor>
    <xdr:from>
      <xdr:col>4</xdr:col>
      <xdr:colOff>371475</xdr:colOff>
      <xdr:row>54</xdr:row>
      <xdr:rowOff>38100</xdr:rowOff>
    </xdr:from>
    <xdr:to>
      <xdr:col>8</xdr:col>
      <xdr:colOff>0</xdr:colOff>
      <xdr:row>56</xdr:row>
      <xdr:rowOff>104775</xdr:rowOff>
    </xdr:to>
    <xdr:sp macro="" textlink="">
      <xdr:nvSpPr>
        <xdr:cNvPr id="1361" name="Text Box 337"/>
        <xdr:cNvSpPr txBox="1">
          <a:spLocks noChangeArrowheads="1"/>
        </xdr:cNvSpPr>
      </xdr:nvSpPr>
      <xdr:spPr bwMode="auto">
        <a:xfrm>
          <a:off x="3419475" y="10525125"/>
          <a:ext cx="2676525" cy="447675"/>
        </a:xfrm>
        <a:prstGeom prst="rect">
          <a:avLst/>
        </a:prstGeom>
        <a:noFill/>
        <a:ln w="9525">
          <a:noFill/>
          <a:miter lim="800000"/>
          <a:headEnd/>
          <a:tailEnd/>
        </a:ln>
      </xdr:spPr>
      <xdr:txBody>
        <a:bodyPr vertOverflow="clip" wrap="square" lIns="54864" tIns="59436" rIns="0" bIns="0" anchor="t" upright="1"/>
        <a:lstStyle/>
        <a:p>
          <a:pPr algn="l" rtl="0">
            <a:defRPr sz="1000"/>
          </a:pPr>
          <a:r>
            <a:rPr lang="en-AU" sz="2000" b="0" i="0" u="none" strike="noStrike" baseline="0">
              <a:solidFill>
                <a:srgbClr val="000000"/>
              </a:solidFill>
              <a:latin typeface="Arial Black"/>
            </a:rPr>
            <a:t>Magnesia Process</a:t>
          </a:r>
        </a:p>
      </xdr:txBody>
    </xdr:sp>
    <xdr:clientData/>
  </xdr:twoCellAnchor>
  <xdr:twoCellAnchor>
    <xdr:from>
      <xdr:col>0</xdr:col>
      <xdr:colOff>190500</xdr:colOff>
      <xdr:row>90</xdr:row>
      <xdr:rowOff>152400</xdr:rowOff>
    </xdr:from>
    <xdr:to>
      <xdr:col>13</xdr:col>
      <xdr:colOff>38100</xdr:colOff>
      <xdr:row>105</xdr:row>
      <xdr:rowOff>57150</xdr:rowOff>
    </xdr:to>
    <xdr:sp macro="" textlink="">
      <xdr:nvSpPr>
        <xdr:cNvPr id="1026" name="Text Box 2"/>
        <xdr:cNvSpPr txBox="1">
          <a:spLocks noChangeArrowheads="1"/>
        </xdr:cNvSpPr>
      </xdr:nvSpPr>
      <xdr:spPr bwMode="auto">
        <a:xfrm>
          <a:off x="190500" y="17497425"/>
          <a:ext cx="9753600" cy="2905125"/>
        </a:xfrm>
        <a:prstGeom prst="rect">
          <a:avLst/>
        </a:prstGeom>
        <a:solidFill>
          <a:srgbClr val="FFFFFF"/>
        </a:solidFill>
        <a:ln w="25400" cmpd="thinThick">
          <a:solidFill>
            <a:srgbClr val="000000"/>
          </a:solid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Worksheets</a:t>
          </a:r>
          <a:endParaRPr lang="en-AU" sz="1200" b="0" i="0" u="none" strike="noStrike" baseline="0">
            <a:solidFill>
              <a:srgbClr val="000000"/>
            </a:solidFill>
            <a:latin typeface="Arial"/>
            <a:cs typeface="Arial"/>
          </a:endParaRPr>
        </a:p>
        <a:p>
          <a:pPr algn="l" rtl="0">
            <a:defRPr sz="1000"/>
          </a:pPr>
          <a:endParaRPr lang="en-AU" sz="1200" b="0" i="0" u="none" strike="noStrike" baseline="0">
            <a:solidFill>
              <a:srgbClr val="000000"/>
            </a:solidFill>
            <a:latin typeface="Arial"/>
            <a:cs typeface="Arial"/>
          </a:endParaRPr>
        </a:p>
        <a:p>
          <a:pPr algn="l" rtl="0">
            <a:defRPr sz="1000"/>
          </a:pPr>
          <a:r>
            <a:rPr lang="en-AU" sz="1200" b="1" i="0" u="none" strike="noStrike" baseline="0">
              <a:solidFill>
                <a:srgbClr val="000000"/>
              </a:solidFill>
              <a:latin typeface="Arial"/>
              <a:cs typeface="Arial"/>
            </a:rPr>
            <a:t>[Overview &amp; Instructions] </a:t>
          </a:r>
          <a:r>
            <a:rPr lang="en-AU" sz="1200" b="0" i="0" u="none" strike="noStrike" baseline="0">
              <a:solidFill>
                <a:srgbClr val="000000"/>
              </a:solidFill>
              <a:latin typeface="Arial"/>
              <a:cs typeface="Arial"/>
            </a:rPr>
            <a:t>worksheet provides an explanation of the workbook and a description of the worksheets and how these should be used.</a:t>
          </a:r>
        </a:p>
        <a:p>
          <a:pPr algn="l" rtl="0">
            <a:defRPr sz="1000"/>
          </a:pPr>
          <a:r>
            <a:rPr lang="en-AU" sz="1200" b="1" i="0" u="none" strike="noStrike" baseline="0">
              <a:solidFill>
                <a:srgbClr val="000000"/>
              </a:solidFill>
              <a:latin typeface="Arial"/>
              <a:cs typeface="Arial"/>
            </a:rPr>
            <a:t>[Gaia Engineering]</a:t>
          </a:r>
          <a:r>
            <a:rPr lang="en-AU" sz="1200" b="0" i="0" u="none" strike="noStrike" baseline="0">
              <a:solidFill>
                <a:srgbClr val="000000"/>
              </a:solidFill>
              <a:latin typeface="Arial"/>
              <a:cs typeface="Arial"/>
            </a:rPr>
            <a:t> describes the Gaia Engineering tececology of which TecEco cements are part.</a:t>
          </a:r>
        </a:p>
        <a:p>
          <a:pPr algn="l" rtl="0">
            <a:defRPr sz="1000"/>
          </a:pPr>
          <a:r>
            <a:rPr lang="en-AU" sz="1200" b="1" i="0" u="none" strike="noStrike" baseline="0">
              <a:solidFill>
                <a:srgbClr val="000000"/>
              </a:solidFill>
              <a:latin typeface="Arial"/>
              <a:cs typeface="Arial"/>
            </a:rPr>
            <a:t>[Energy &amp; Emissions Comparison] </a:t>
          </a:r>
          <a:r>
            <a:rPr lang="en-AU" sz="1200" b="0" i="0" u="none" strike="noStrike" baseline="0">
              <a:solidFill>
                <a:srgbClr val="000000"/>
              </a:solidFill>
              <a:latin typeface="Arial"/>
              <a:cs typeface="Arial"/>
            </a:rPr>
            <a:t>provides a table comparing energy requirements and greenhouse gas emissions for Portland, lime and TecEco cements, nesquehonite synthetic carbonate and some SCM's. The data in this worksheet can be adjusted to investigate results with different compositions. This sheet is the </a:t>
          </a:r>
          <a:r>
            <a:rPr lang="en-AU" sz="1200" b="1" i="0" u="none" strike="noStrike" baseline="0">
              <a:solidFill>
                <a:srgbClr val="000000"/>
              </a:solidFill>
              <a:latin typeface="Arial"/>
              <a:cs typeface="Arial"/>
            </a:rPr>
            <a:t>main user interface of the model</a:t>
          </a:r>
          <a:r>
            <a:rPr lang="en-AU" sz="1200" b="0" i="0" u="none" strike="noStrike" baseline="0">
              <a:solidFill>
                <a:srgbClr val="000000"/>
              </a:solidFill>
              <a:latin typeface="Arial"/>
              <a:cs typeface="Arial"/>
            </a:rPr>
            <a:t>.</a:t>
          </a:r>
        </a:p>
        <a:p>
          <a:pPr algn="l" rtl="0">
            <a:defRPr sz="1000"/>
          </a:pPr>
          <a:r>
            <a:rPr lang="en-AU" sz="1200" b="1" i="0" u="none" strike="noStrike" baseline="0">
              <a:solidFill>
                <a:srgbClr val="000000"/>
              </a:solidFill>
              <a:latin typeface="Arial"/>
              <a:cs typeface="Arial"/>
            </a:rPr>
            <a:t>[Energy Cost &amp; Emissions]</a:t>
          </a:r>
          <a:r>
            <a:rPr lang="en-AU" sz="1200" b="0" i="0" u="none" strike="noStrike" baseline="0">
              <a:solidFill>
                <a:srgbClr val="000000"/>
              </a:solidFill>
              <a:latin typeface="Arial"/>
              <a:cs typeface="Arial"/>
            </a:rPr>
            <a:t> lists the energy and emissions factors used by the Australian Greenhouse Office and from other sources.</a:t>
          </a:r>
        </a:p>
        <a:p>
          <a:pPr algn="l" rtl="0">
            <a:defRPr sz="1000"/>
          </a:pPr>
          <a:r>
            <a:rPr lang="en-AU" sz="1200" b="1" i="0" baseline="0">
              <a:effectLst/>
              <a:latin typeface="Arial" pitchFamily="34" charset="0"/>
              <a:ea typeface="+mn-ea"/>
              <a:cs typeface="Arial" pitchFamily="34" charset="0"/>
            </a:rPr>
            <a:t>[Energy Cost Calcs]</a:t>
          </a:r>
          <a:r>
            <a:rPr lang="en-AU" sz="1200" b="0" i="0" baseline="0">
              <a:effectLst/>
              <a:latin typeface="Arial" pitchFamily="34" charset="0"/>
              <a:ea typeface="+mn-ea"/>
              <a:cs typeface="Arial" pitchFamily="34" charset="0"/>
            </a:rPr>
            <a:t> Shows most of the energy calculations</a:t>
          </a:r>
          <a:endParaRPr lang="en-AU" sz="1200" b="1" i="0" u="none" strike="noStrike" baseline="0">
            <a:solidFill>
              <a:srgbClr val="000000"/>
            </a:solidFill>
            <a:latin typeface="Arial" pitchFamily="34" charset="0"/>
            <a:cs typeface="Arial" pitchFamily="34" charset="0"/>
          </a:endParaRPr>
        </a:p>
        <a:p>
          <a:pPr algn="l" rtl="0">
            <a:defRPr sz="1000"/>
          </a:pPr>
          <a:r>
            <a:rPr lang="en-AU" sz="1200" b="1" i="0" u="none" strike="noStrike" baseline="0">
              <a:solidFill>
                <a:srgbClr val="000000"/>
              </a:solidFill>
              <a:latin typeface="Arial"/>
              <a:cs typeface="Arial"/>
            </a:rPr>
            <a:t>[PC Data]</a:t>
          </a:r>
          <a:r>
            <a:rPr lang="en-AU" sz="1200" b="0" i="0" u="none" strike="noStrike" baseline="0">
              <a:solidFill>
                <a:srgbClr val="000000"/>
              </a:solidFill>
              <a:latin typeface="Arial"/>
              <a:cs typeface="Arial"/>
            </a:rPr>
            <a:t> lists the data used for Portland cement and for comparable stages of manufacture of lime and magnesia.</a:t>
          </a:r>
        </a:p>
        <a:p>
          <a:pPr algn="l" rtl="0">
            <a:defRPr sz="1000"/>
          </a:pPr>
          <a:r>
            <a:rPr lang="en-AU" sz="1200" b="1" i="0" u="none" strike="noStrike" baseline="0">
              <a:solidFill>
                <a:srgbClr val="000000"/>
              </a:solidFill>
              <a:latin typeface="Arial"/>
              <a:cs typeface="Arial"/>
            </a:rPr>
            <a:t>[Syncarb to rMgO Data] </a:t>
          </a:r>
          <a:r>
            <a:rPr lang="en-AU" sz="1200" b="0" i="0" u="none" strike="noStrike" baseline="0">
              <a:solidFill>
                <a:srgbClr val="000000"/>
              </a:solidFill>
              <a:latin typeface="Arial"/>
              <a:cs typeface="Arial"/>
            </a:rPr>
            <a:t>details thermodynmaic and reaction data for magnesium  oxide.</a:t>
          </a:r>
        </a:p>
        <a:p>
          <a:pPr algn="l" rtl="0">
            <a:defRPr sz="1000"/>
          </a:pPr>
          <a:r>
            <a:rPr lang="en-AU" sz="1200" b="1" i="0" u="none" strike="noStrike" baseline="0">
              <a:solidFill>
                <a:srgbClr val="000000"/>
              </a:solidFill>
              <a:latin typeface="Arial"/>
              <a:cs typeface="Arial"/>
            </a:rPr>
            <a:t>[Lime Energy and CO</a:t>
          </a:r>
          <a:r>
            <a:rPr lang="en-AU" sz="1200" b="1" i="0" u="none" strike="noStrike" baseline="-25000">
              <a:solidFill>
                <a:srgbClr val="000000"/>
              </a:solidFill>
              <a:latin typeface="Arial"/>
              <a:cs typeface="Arial"/>
            </a:rPr>
            <a:t>2 </a:t>
          </a:r>
          <a:r>
            <a:rPr lang="en-AU" sz="1200" b="1" i="0" u="none" strike="noStrike" baseline="0">
              <a:solidFill>
                <a:srgbClr val="000000"/>
              </a:solidFill>
              <a:latin typeface="Arial"/>
              <a:cs typeface="Arial"/>
            </a:rPr>
            <a:t>Data]</a:t>
          </a:r>
          <a:r>
            <a:rPr lang="en-AU" sz="1200" b="0" i="0" u="none" strike="noStrike" baseline="0">
              <a:solidFill>
                <a:srgbClr val="000000"/>
              </a:solidFill>
              <a:latin typeface="Arial"/>
              <a:cs typeface="Arial"/>
            </a:rPr>
            <a:t> details thermodynmaic and reaction data for calcium oxide.</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200" b="1" i="0" baseline="0">
              <a:effectLst/>
              <a:latin typeface="Arial" pitchFamily="34" charset="0"/>
              <a:ea typeface="+mn-ea"/>
              <a:cs typeface="Arial" pitchFamily="34" charset="0"/>
            </a:rPr>
            <a:t>[SCM Data]</a:t>
          </a:r>
          <a:r>
            <a:rPr lang="en-AU" sz="1200" b="0" i="0" baseline="0">
              <a:effectLst/>
              <a:latin typeface="Arial" pitchFamily="34" charset="0"/>
              <a:ea typeface="+mn-ea"/>
              <a:cs typeface="Arial" pitchFamily="34" charset="0"/>
            </a:rPr>
            <a:t> details thermodynmaic and reaction data for SCM's.</a:t>
          </a:r>
          <a:endParaRPr lang="en-AU" sz="1200" b="0" i="0" u="none" strike="noStrike" baseline="0">
            <a:solidFill>
              <a:srgbClr val="000000"/>
            </a:solidFill>
            <a:latin typeface="Arial"/>
            <a:cs typeface="Arial"/>
          </a:endParaRPr>
        </a:p>
        <a:p>
          <a:pPr algn="l" rtl="0">
            <a:defRPr sz="1000"/>
          </a:pPr>
          <a:r>
            <a:rPr lang="en-AU" sz="1200" b="1" i="0" u="none" strike="noStrike" baseline="0">
              <a:solidFill>
                <a:srgbClr val="000000"/>
              </a:solidFill>
              <a:latin typeface="Arial"/>
              <a:cs typeface="Arial"/>
            </a:rPr>
            <a:t>[References]</a:t>
          </a:r>
          <a:r>
            <a:rPr lang="en-AU" sz="1200" b="0" i="0" u="none" strike="noStrike" baseline="0">
              <a:solidFill>
                <a:srgbClr val="000000"/>
              </a:solidFill>
              <a:latin typeface="Arial"/>
              <a:cs typeface="Arial"/>
            </a:rPr>
            <a:t> gives a list of data extracted from the references cited. This data should be updated only as better data is available.</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200" b="1" i="0" baseline="0">
              <a:effectLst/>
              <a:latin typeface="Arial" pitchFamily="34" charset="0"/>
              <a:ea typeface="+mn-ea"/>
              <a:cs typeface="Arial" pitchFamily="34" charset="0"/>
            </a:rPr>
            <a:t>[Thermodynamic Data]</a:t>
          </a:r>
          <a:r>
            <a:rPr lang="en-AU" sz="1200" b="0" i="0" baseline="0">
              <a:effectLst/>
              <a:latin typeface="Arial" pitchFamily="34" charset="0"/>
              <a:ea typeface="+mn-ea"/>
              <a:cs typeface="Arial" pitchFamily="34" charset="0"/>
            </a:rPr>
            <a:t> basic thermodynamic data with references.</a:t>
          </a:r>
          <a:endParaRPr lang="en-AU" sz="1200">
            <a:effectLst/>
            <a:latin typeface="Arial" pitchFamily="34" charset="0"/>
            <a:cs typeface="Arial" pitchFamily="34" charset="0"/>
          </a:endParaRPr>
        </a:p>
        <a:p>
          <a:pPr algn="l" rtl="0">
            <a:defRPr sz="1000"/>
          </a:pPr>
          <a:endParaRPr lang="en-AU" sz="1200" b="0" i="0" u="none" strike="noStrike" baseline="0">
            <a:solidFill>
              <a:srgbClr val="000000"/>
            </a:solidFill>
            <a:latin typeface="Arial"/>
            <a:cs typeface="Arial"/>
          </a:endParaRPr>
        </a:p>
        <a:p>
          <a:pPr algn="l" rtl="0">
            <a:defRPr sz="1000"/>
          </a:pPr>
          <a:endParaRPr lang="en-AU" sz="1200" b="0" i="0" u="none" strike="noStrike" baseline="0">
            <a:solidFill>
              <a:srgbClr val="000000"/>
            </a:solidFill>
            <a:latin typeface="Arial"/>
            <a:cs typeface="Arial"/>
          </a:endParaRPr>
        </a:p>
        <a:p>
          <a:pPr algn="l" rtl="0">
            <a:defRPr sz="1000"/>
          </a:pPr>
          <a:endParaRPr lang="en-AU" sz="12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28575</xdr:rowOff>
    </xdr:from>
    <xdr:to>
      <xdr:col>2</xdr:col>
      <xdr:colOff>571500</xdr:colOff>
      <xdr:row>2</xdr:row>
      <xdr:rowOff>180975</xdr:rowOff>
    </xdr:to>
    <xdr:pic>
      <xdr:nvPicPr>
        <xdr:cNvPr id="487769" name="Picture 82"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066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190499</xdr:colOff>
      <xdr:row>4</xdr:row>
      <xdr:rowOff>142875</xdr:rowOff>
    </xdr:from>
    <xdr:to>
      <xdr:col>5</xdr:col>
      <xdr:colOff>447674</xdr:colOff>
      <xdr:row>53</xdr:row>
      <xdr:rowOff>123825</xdr:rowOff>
    </xdr:to>
    <xdr:sp macro="" textlink="">
      <xdr:nvSpPr>
        <xdr:cNvPr id="1107" name="Text Box 83"/>
        <xdr:cNvSpPr txBox="1">
          <a:spLocks noChangeArrowheads="1"/>
        </xdr:cNvSpPr>
      </xdr:nvSpPr>
      <xdr:spPr bwMode="auto">
        <a:xfrm>
          <a:off x="190499" y="1104900"/>
          <a:ext cx="4067175" cy="9315450"/>
        </a:xfrm>
        <a:prstGeom prst="rect">
          <a:avLst/>
        </a:prstGeom>
        <a:solidFill>
          <a:srgbClr val="FFFFFF"/>
        </a:solidFill>
        <a:ln w="25400" cmpd="thinThick">
          <a:solidFill>
            <a:srgbClr val="000000"/>
          </a:solidFill>
          <a:miter lim="800000"/>
          <a:headEnd/>
          <a:tailEnd/>
        </a:ln>
      </xdr:spPr>
      <xdr:txBody>
        <a:bodyPr vertOverflow="clip" wrap="square" lIns="72000" tIns="27432" rIns="72000" bIns="0" anchor="t" upright="1"/>
        <a:lstStyle/>
        <a:p>
          <a:pPr algn="l" rtl="0">
            <a:defRPr sz="1000"/>
          </a:pPr>
          <a:r>
            <a:rPr lang="en-AU" sz="1200" b="1" i="0" u="none" strike="noStrike" baseline="0">
              <a:solidFill>
                <a:srgbClr val="000000"/>
              </a:solidFill>
              <a:latin typeface="Arial"/>
              <a:cs typeface="Arial"/>
            </a:rPr>
            <a:t>Workbook.</a:t>
          </a:r>
          <a:endParaRPr lang="en-AU" sz="1200" b="0" i="0" u="none" strike="noStrike" baseline="0">
            <a:solidFill>
              <a:srgbClr val="000000"/>
            </a:solidFill>
            <a:latin typeface="Arial"/>
            <a:cs typeface="Arial"/>
          </a:endParaRP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This workbook provides a methodology for considering and comparing the life cycle analyses &amp; process costs of Portland cement, </a:t>
          </a:r>
          <a:r>
            <a:rPr lang="en-AU" sz="1200">
              <a:latin typeface="Arial" pitchFamily="34" charset="0"/>
              <a:cs typeface="Arial" pitchFamily="34" charset="0"/>
            </a:rPr>
            <a:t>TecEco cements and nesquehonite synthetic carbonate aggregate with and without releases and</a:t>
          </a:r>
          <a:r>
            <a:rPr lang="en-AU" sz="1200" baseline="0">
              <a:latin typeface="Arial" pitchFamily="34" charset="0"/>
              <a:cs typeface="Arial" pitchFamily="34" charset="0"/>
            </a:rPr>
            <a:t> various other components and options.</a:t>
          </a:r>
          <a:r>
            <a:rPr lang="en-AU" sz="1200" b="0" i="0" u="none" strike="noStrike" baseline="0">
              <a:solidFill>
                <a:srgbClr val="000000"/>
              </a:solidFill>
              <a:latin typeface="Arial"/>
              <a:cs typeface="Arial"/>
            </a:rPr>
            <a:t> It only accounts for embodied energy, associated CO</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 and chemical CO</a:t>
          </a:r>
          <a:r>
            <a:rPr lang="en-AU" sz="1200" b="0" i="0" u="none" strike="noStrike" baseline="-25000">
              <a:solidFill>
                <a:srgbClr val="000000"/>
              </a:solidFill>
              <a:latin typeface="Arial"/>
              <a:cs typeface="Arial"/>
            </a:rPr>
            <a:t>2 </a:t>
          </a:r>
          <a:r>
            <a:rPr lang="en-AU" sz="1200">
              <a:latin typeface="Arial" pitchFamily="34" charset="0"/>
              <a:cs typeface="Arial" pitchFamily="34" charset="0"/>
            </a:rPr>
            <a:t>and</a:t>
          </a:r>
          <a:r>
            <a:rPr lang="en-AU" sz="1200" b="0" i="0" u="none" strike="noStrike" baseline="-25000">
              <a:solidFill>
                <a:srgbClr val="000000"/>
              </a:solidFill>
              <a:latin typeface="Arial"/>
              <a:cs typeface="Arial"/>
            </a:rPr>
            <a:t> </a:t>
          </a:r>
          <a:r>
            <a:rPr lang="en-AU" sz="1200" b="0" i="0" u="none" strike="noStrike" baseline="0">
              <a:solidFill>
                <a:srgbClr val="000000"/>
              </a:solidFill>
              <a:latin typeface="Arial"/>
              <a:cs typeface="Arial"/>
            </a:rPr>
            <a:t>attempts to quantify process costs based on energy and value of carbon produced or sequestered.</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The model is limited in that it </a:t>
          </a:r>
          <a:r>
            <a:rPr lang="en-AU" sz="1200" b="0" i="0" u="sng" strike="noStrike" baseline="0">
              <a:solidFill>
                <a:srgbClr val="000000"/>
              </a:solidFill>
              <a:latin typeface="Arial"/>
              <a:cs typeface="Arial"/>
            </a:rPr>
            <a:t>only</a:t>
          </a:r>
          <a:r>
            <a:rPr lang="en-AU" sz="1200" b="0" i="0" u="none" strike="noStrike" baseline="0">
              <a:solidFill>
                <a:srgbClr val="000000"/>
              </a:solidFill>
              <a:latin typeface="Arial"/>
              <a:cs typeface="Arial"/>
            </a:rPr>
            <a:t> considers the part of the cycle marked in green in the diagram to the right, it does not consider the complete life cycle by including the use of cements to make concrete for example.</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In time and hopefully with the help of others it is proposed to extend the model to use, re-use and maintenance as well as recyling and disposal at the end of life (in blue in the diagram).</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The methodology is what is important as it incorporates an understanding of how TecEco cements, Portland cements and lime chemically work, missing in some earlier attempts at LCA by third parties.</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The revolutionary new SynCarb process is also considered assuming nesquehonite is precipated. In reality other carbonates are also produced depending on the brine.</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Energy and emission per litre of material produced have also been calculated on the basis that we live in 3D space not Kg space.</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On this basis magnesium carbonates excel because of the large volume of binder produced per Kg of MgO used. This method is however new and far from perfect. Perhaps what is required is some sort of measure of emissions relative to utility and price may reflect that. e.g. steel goes a lot further in creating 3D space than say clay bricks and cost correspondingly more. Emissions per dollar may not be a bad measure as price is determined by utility.</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Please address comments and suggested improvements to:</a:t>
          </a:r>
        </a:p>
        <a:p>
          <a:pPr algn="l" rtl="0">
            <a:defRPr sz="1000"/>
          </a:pPr>
          <a:r>
            <a:rPr lang="en-AU" sz="1200" b="0" i="0" u="none" strike="noStrike" baseline="0">
              <a:solidFill>
                <a:srgbClr val="000000"/>
              </a:solidFill>
              <a:latin typeface="Arial"/>
              <a:cs typeface="Arial"/>
            </a:rPr>
            <a:t>    </a:t>
          </a:r>
        </a:p>
        <a:p>
          <a:pPr algn="l" rtl="0">
            <a:defRPr sz="1000"/>
          </a:pPr>
          <a:r>
            <a:rPr lang="en-AU" sz="1200" b="0" i="0" u="none" strike="noStrike" baseline="0">
              <a:solidFill>
                <a:srgbClr val="000000"/>
              </a:solidFill>
              <a:latin typeface="Arial"/>
              <a:cs typeface="Arial"/>
            </a:rPr>
            <a:t>John Harrison B.Sc. B.Ec.                                                                                                                              </a:t>
          </a:r>
        </a:p>
        <a:p>
          <a:pPr algn="l" rtl="0">
            <a:defRPr sz="1000"/>
          </a:pPr>
          <a:r>
            <a:rPr lang="en-AU" sz="1200" b="0" i="0" u="none" strike="noStrike" baseline="0">
              <a:solidFill>
                <a:srgbClr val="000000"/>
              </a:solidFill>
              <a:latin typeface="Arial"/>
              <a:cs typeface="Arial"/>
            </a:rPr>
            <a:t>TecEco Pty. Ltd.</a:t>
          </a:r>
        </a:p>
        <a:p>
          <a:pPr algn="l" rtl="0">
            <a:defRPr sz="1000"/>
          </a:pPr>
          <a:r>
            <a:rPr lang="en-AU" sz="1200" b="0" i="0" u="none" strike="noStrike" baseline="0">
              <a:solidFill>
                <a:srgbClr val="000000"/>
              </a:solidFill>
              <a:latin typeface="Arial"/>
              <a:cs typeface="Arial"/>
            </a:rPr>
            <a:t>See web site at </a:t>
          </a:r>
          <a:r>
            <a:rPr lang="en-AU" sz="1200" b="0" i="0" u="none" strike="noStrike" baseline="0">
              <a:solidFill>
                <a:srgbClr val="00CCFF"/>
              </a:solidFill>
              <a:latin typeface="Arial"/>
              <a:cs typeface="Arial"/>
            </a:rPr>
            <a:t>www.tececo.com</a:t>
          </a:r>
          <a:r>
            <a:rPr lang="en-AU" sz="1200" b="0" i="0" u="none" strike="noStrike" baseline="0">
              <a:solidFill>
                <a:srgbClr val="000000"/>
              </a:solidFill>
              <a:latin typeface="Arial"/>
              <a:cs typeface="Arial"/>
            </a:rPr>
            <a:t> for email address</a:t>
          </a:r>
        </a:p>
      </xdr:txBody>
    </xdr:sp>
    <xdr:clientData/>
  </xdr:twoCellAnchor>
  <xdr:twoCellAnchor>
    <xdr:from>
      <xdr:col>11</xdr:col>
      <xdr:colOff>476250</xdr:colOff>
      <xdr:row>34</xdr:row>
      <xdr:rowOff>95250</xdr:rowOff>
    </xdr:from>
    <xdr:to>
      <xdr:col>11</xdr:col>
      <xdr:colOff>723900</xdr:colOff>
      <xdr:row>36</xdr:row>
      <xdr:rowOff>95248</xdr:rowOff>
    </xdr:to>
    <xdr:sp macro="" textlink="">
      <xdr:nvSpPr>
        <xdr:cNvPr id="487772" name="Line 344"/>
        <xdr:cNvSpPr>
          <a:spLocks noChangeShapeType="1"/>
        </xdr:cNvSpPr>
      </xdr:nvSpPr>
      <xdr:spPr bwMode="auto">
        <a:xfrm flipV="1">
          <a:off x="8858250" y="6772275"/>
          <a:ext cx="247650" cy="38099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723900</xdr:colOff>
      <xdr:row>30</xdr:row>
      <xdr:rowOff>28575</xdr:rowOff>
    </xdr:from>
    <xdr:to>
      <xdr:col>9</xdr:col>
      <xdr:colOff>295275</xdr:colOff>
      <xdr:row>36</xdr:row>
      <xdr:rowOff>76200</xdr:rowOff>
    </xdr:to>
    <xdr:sp macro="" textlink="">
      <xdr:nvSpPr>
        <xdr:cNvPr id="1110" name="Text Box 86"/>
        <xdr:cNvSpPr txBox="1">
          <a:spLocks noChangeArrowheads="1"/>
        </xdr:cNvSpPr>
      </xdr:nvSpPr>
      <xdr:spPr bwMode="auto">
        <a:xfrm>
          <a:off x="6057900" y="5943600"/>
          <a:ext cx="1095375" cy="11906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200"/>
            </a:lnSpc>
            <a:defRPr sz="1000"/>
          </a:pPr>
          <a:r>
            <a:rPr lang="en-AU" sz="1200" b="0" i="0" u="none" strike="noStrike" baseline="0">
              <a:solidFill>
                <a:srgbClr val="000000"/>
              </a:solidFill>
              <a:latin typeface="Arial"/>
              <a:cs typeface="Arial"/>
            </a:rPr>
            <a:t>Limestone / sand / iron ore / clay extraction, transport and kiln feed preparation</a:t>
          </a:r>
        </a:p>
      </xdr:txBody>
    </xdr:sp>
    <xdr:clientData/>
  </xdr:twoCellAnchor>
  <xdr:twoCellAnchor>
    <xdr:from>
      <xdr:col>9</xdr:col>
      <xdr:colOff>657225</xdr:colOff>
      <xdr:row>30</xdr:row>
      <xdr:rowOff>161925</xdr:rowOff>
    </xdr:from>
    <xdr:to>
      <xdr:col>11</xdr:col>
      <xdr:colOff>114300</xdr:colOff>
      <xdr:row>36</xdr:row>
      <xdr:rowOff>19050</xdr:rowOff>
    </xdr:to>
    <xdr:sp macro="" textlink="">
      <xdr:nvSpPr>
        <xdr:cNvPr id="1111" name="Text Box 87"/>
        <xdr:cNvSpPr txBox="1">
          <a:spLocks noChangeArrowheads="1"/>
        </xdr:cNvSpPr>
      </xdr:nvSpPr>
      <xdr:spPr bwMode="auto">
        <a:xfrm>
          <a:off x="7515225" y="6076950"/>
          <a:ext cx="981075" cy="10001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Magnesite</a:t>
          </a:r>
        </a:p>
        <a:p>
          <a:pPr algn="l" rtl="0">
            <a:defRPr sz="1000"/>
          </a:pPr>
          <a:r>
            <a:rPr lang="en-AU" sz="1200" b="0" i="0" u="none" strike="noStrike" baseline="0">
              <a:solidFill>
                <a:srgbClr val="000000"/>
              </a:solidFill>
              <a:latin typeface="Arial"/>
              <a:cs typeface="Arial"/>
            </a:rPr>
            <a:t>extraction, transport and kiln feed preparation</a:t>
          </a:r>
        </a:p>
      </xdr:txBody>
    </xdr:sp>
    <xdr:clientData/>
  </xdr:twoCellAnchor>
  <xdr:oneCellAnchor>
    <xdr:from>
      <xdr:col>10</xdr:col>
      <xdr:colOff>0</xdr:colOff>
      <xdr:row>37</xdr:row>
      <xdr:rowOff>142875</xdr:rowOff>
    </xdr:from>
    <xdr:ext cx="677621" cy="200119"/>
    <xdr:sp macro="" textlink="">
      <xdr:nvSpPr>
        <xdr:cNvPr id="1113" name="Text Box 89"/>
        <xdr:cNvSpPr txBox="1">
          <a:spLocks noChangeArrowheads="1"/>
        </xdr:cNvSpPr>
      </xdr:nvSpPr>
      <xdr:spPr bwMode="auto">
        <a:xfrm>
          <a:off x="7620000" y="7391400"/>
          <a:ext cx="677621" cy="200119"/>
        </a:xfrm>
        <a:prstGeom prst="rect">
          <a:avLst/>
        </a:prstGeom>
        <a:solidFill>
          <a:srgbClr val="FFFFFF"/>
        </a:solidFill>
        <a:ln w="9525">
          <a:solidFill>
            <a:srgbClr val="000000"/>
          </a:solidFill>
          <a:miter lim="800000"/>
          <a:headEnd/>
          <a:tailEnd/>
        </a:ln>
      </xdr:spPr>
      <xdr:txBody>
        <a:bodyPr wrap="none" lIns="27432" tIns="22860" rIns="0" bIns="0" anchor="t" upright="1">
          <a:spAutoFit/>
        </a:bodyPr>
        <a:lstStyle/>
        <a:p>
          <a:pPr algn="l" rtl="0">
            <a:defRPr sz="1000"/>
          </a:pPr>
          <a:r>
            <a:rPr lang="en-AU" sz="1200" b="0" i="0" u="none" strike="noStrike" baseline="0">
              <a:solidFill>
                <a:srgbClr val="000000"/>
              </a:solidFill>
              <a:latin typeface="Arial"/>
              <a:cs typeface="Arial"/>
            </a:rPr>
            <a:t>Tec - Kiln</a:t>
          </a:r>
        </a:p>
      </xdr:txBody>
    </xdr:sp>
    <xdr:clientData/>
  </xdr:oneCellAnchor>
  <xdr:twoCellAnchor>
    <xdr:from>
      <xdr:col>8</xdr:col>
      <xdr:colOff>561975</xdr:colOff>
      <xdr:row>46</xdr:row>
      <xdr:rowOff>0</xdr:rowOff>
    </xdr:from>
    <xdr:to>
      <xdr:col>11</xdr:col>
      <xdr:colOff>38100</xdr:colOff>
      <xdr:row>49</xdr:row>
      <xdr:rowOff>47625</xdr:rowOff>
    </xdr:to>
    <xdr:sp macro="" textlink="">
      <xdr:nvSpPr>
        <xdr:cNvPr id="1116" name="Oval 92"/>
        <xdr:cNvSpPr>
          <a:spLocks noChangeArrowheads="1"/>
        </xdr:cNvSpPr>
      </xdr:nvSpPr>
      <xdr:spPr bwMode="auto">
        <a:xfrm>
          <a:off x="6657975" y="8963025"/>
          <a:ext cx="1762125" cy="619125"/>
        </a:xfrm>
        <a:prstGeom prst="ellipse">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Blending to make TecEco cements</a:t>
          </a:r>
        </a:p>
      </xdr:txBody>
    </xdr:sp>
    <xdr:clientData/>
  </xdr:twoCellAnchor>
  <xdr:twoCellAnchor>
    <xdr:from>
      <xdr:col>9</xdr:col>
      <xdr:colOff>133350</xdr:colOff>
      <xdr:row>50</xdr:row>
      <xdr:rowOff>133350</xdr:rowOff>
    </xdr:from>
    <xdr:to>
      <xdr:col>10</xdr:col>
      <xdr:colOff>447675</xdr:colOff>
      <xdr:row>52</xdr:row>
      <xdr:rowOff>133350</xdr:rowOff>
    </xdr:to>
    <xdr:sp macro="" textlink="">
      <xdr:nvSpPr>
        <xdr:cNvPr id="1117" name="Text Box 93"/>
        <xdr:cNvSpPr txBox="1">
          <a:spLocks noChangeArrowheads="1"/>
        </xdr:cNvSpPr>
      </xdr:nvSpPr>
      <xdr:spPr bwMode="auto">
        <a:xfrm>
          <a:off x="6991350" y="9858375"/>
          <a:ext cx="1076325" cy="3810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Possible Recarbonation</a:t>
          </a:r>
        </a:p>
      </xdr:txBody>
    </xdr:sp>
    <xdr:clientData/>
  </xdr:twoCellAnchor>
  <xdr:oneCellAnchor>
    <xdr:from>
      <xdr:col>5</xdr:col>
      <xdr:colOff>647700</xdr:colOff>
      <xdr:row>34</xdr:row>
      <xdr:rowOff>114300</xdr:rowOff>
    </xdr:from>
    <xdr:ext cx="1156599" cy="377155"/>
    <xdr:sp macro="" textlink="">
      <xdr:nvSpPr>
        <xdr:cNvPr id="1119" name="Text Box 95"/>
        <xdr:cNvSpPr txBox="1">
          <a:spLocks noChangeArrowheads="1"/>
        </xdr:cNvSpPr>
      </xdr:nvSpPr>
      <xdr:spPr bwMode="auto">
        <a:xfrm>
          <a:off x="4457700" y="6791325"/>
          <a:ext cx="1156599" cy="377155"/>
        </a:xfrm>
        <a:prstGeom prst="rect">
          <a:avLst/>
        </a:prstGeom>
        <a:noFill/>
        <a:ln w="9525">
          <a:noFill/>
          <a:miter lim="800000"/>
          <a:headEnd/>
          <a:tailEnd/>
        </a:ln>
      </xdr:spPr>
      <xdr:txBody>
        <a:bodyPr wrap="none" lIns="27432" tIns="22860" rIns="0" bIns="0" anchor="t" upright="1">
          <a:spAutoFit/>
        </a:bodyPr>
        <a:lstStyle/>
        <a:p>
          <a:pPr algn="l" rtl="0">
            <a:defRPr sz="1000"/>
          </a:pPr>
          <a:r>
            <a:rPr lang="en-AU" sz="1200" b="0" i="0" u="none" strike="noStrike" baseline="0">
              <a:solidFill>
                <a:srgbClr val="000000"/>
              </a:solidFill>
              <a:latin typeface="Arial"/>
              <a:cs typeface="Arial"/>
            </a:rPr>
            <a:t>Energy</a:t>
          </a:r>
        </a:p>
        <a:p>
          <a:pPr algn="l" rtl="0">
            <a:defRPr sz="1000"/>
          </a:pPr>
          <a:r>
            <a:rPr lang="en-AU" sz="1200" b="0" i="0" u="none" strike="noStrike" baseline="0">
              <a:solidFill>
                <a:srgbClr val="000000"/>
              </a:solidFill>
              <a:latin typeface="Arial"/>
              <a:cs typeface="Arial"/>
            </a:rPr>
            <a:t>Fuel &amp; electricity</a:t>
          </a:r>
        </a:p>
      </xdr:txBody>
    </xdr:sp>
    <xdr:clientData/>
  </xdr:oneCellAnchor>
  <xdr:twoCellAnchor>
    <xdr:from>
      <xdr:col>7</xdr:col>
      <xdr:colOff>600074</xdr:colOff>
      <xdr:row>29</xdr:row>
      <xdr:rowOff>161925</xdr:rowOff>
    </xdr:from>
    <xdr:to>
      <xdr:col>14</xdr:col>
      <xdr:colOff>542925</xdr:colOff>
      <xdr:row>53</xdr:row>
      <xdr:rowOff>171450</xdr:rowOff>
    </xdr:to>
    <xdr:sp macro="" textlink="">
      <xdr:nvSpPr>
        <xdr:cNvPr id="487781" name="Rectangle 100"/>
        <xdr:cNvSpPr>
          <a:spLocks noChangeArrowheads="1"/>
        </xdr:cNvSpPr>
      </xdr:nvSpPr>
      <xdr:spPr bwMode="auto">
        <a:xfrm>
          <a:off x="5934074" y="5886450"/>
          <a:ext cx="5276851" cy="4581525"/>
        </a:xfrm>
        <a:prstGeom prst="rect">
          <a:avLst/>
        </a:prstGeom>
        <a:noFill/>
        <a:ln w="12700">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495300</xdr:colOff>
      <xdr:row>36</xdr:row>
      <xdr:rowOff>133350</xdr:rowOff>
    </xdr:from>
    <xdr:to>
      <xdr:col>8</xdr:col>
      <xdr:colOff>495300</xdr:colOff>
      <xdr:row>37</xdr:row>
      <xdr:rowOff>104775</xdr:rowOff>
    </xdr:to>
    <xdr:sp macro="" textlink="">
      <xdr:nvSpPr>
        <xdr:cNvPr id="487782" name="Line 103"/>
        <xdr:cNvSpPr>
          <a:spLocks noChangeShapeType="1"/>
        </xdr:cNvSpPr>
      </xdr:nvSpPr>
      <xdr:spPr bwMode="auto">
        <a:xfrm>
          <a:off x="6591300" y="71913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323850</xdr:colOff>
      <xdr:row>36</xdr:row>
      <xdr:rowOff>95250</xdr:rowOff>
    </xdr:from>
    <xdr:to>
      <xdr:col>10</xdr:col>
      <xdr:colOff>323850</xdr:colOff>
      <xdr:row>37</xdr:row>
      <xdr:rowOff>66675</xdr:rowOff>
    </xdr:to>
    <xdr:sp macro="" textlink="">
      <xdr:nvSpPr>
        <xdr:cNvPr id="487783" name="Line 104"/>
        <xdr:cNvSpPr>
          <a:spLocks noChangeShapeType="1"/>
        </xdr:cNvSpPr>
      </xdr:nvSpPr>
      <xdr:spPr bwMode="auto">
        <a:xfrm>
          <a:off x="7943850" y="71532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44</xdr:row>
      <xdr:rowOff>38099</xdr:rowOff>
    </xdr:from>
    <xdr:to>
      <xdr:col>9</xdr:col>
      <xdr:colOff>285750</xdr:colOff>
      <xdr:row>45</xdr:row>
      <xdr:rowOff>161924</xdr:rowOff>
    </xdr:to>
    <xdr:sp macro="" textlink="">
      <xdr:nvSpPr>
        <xdr:cNvPr id="487784" name="Line 105"/>
        <xdr:cNvSpPr>
          <a:spLocks noChangeShapeType="1"/>
        </xdr:cNvSpPr>
      </xdr:nvSpPr>
      <xdr:spPr bwMode="auto">
        <a:xfrm>
          <a:off x="6743700" y="8620124"/>
          <a:ext cx="40005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666750</xdr:colOff>
      <xdr:row>49</xdr:row>
      <xdr:rowOff>66675</xdr:rowOff>
    </xdr:from>
    <xdr:to>
      <xdr:col>9</xdr:col>
      <xdr:colOff>666750</xdr:colOff>
      <xdr:row>50</xdr:row>
      <xdr:rowOff>57150</xdr:rowOff>
    </xdr:to>
    <xdr:sp macro="" textlink="">
      <xdr:nvSpPr>
        <xdr:cNvPr id="487785" name="Line 107"/>
        <xdr:cNvSpPr>
          <a:spLocks noChangeShapeType="1"/>
        </xdr:cNvSpPr>
      </xdr:nvSpPr>
      <xdr:spPr bwMode="auto">
        <a:xfrm>
          <a:off x="7524750" y="96012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523875</xdr:colOff>
      <xdr:row>41</xdr:row>
      <xdr:rowOff>38100</xdr:rowOff>
    </xdr:from>
    <xdr:to>
      <xdr:col>7</xdr:col>
      <xdr:colOff>590550</xdr:colOff>
      <xdr:row>46</xdr:row>
      <xdr:rowOff>28575</xdr:rowOff>
    </xdr:to>
    <xdr:sp macro="" textlink="">
      <xdr:nvSpPr>
        <xdr:cNvPr id="1132" name="Text Box 108"/>
        <xdr:cNvSpPr txBox="1">
          <a:spLocks noChangeArrowheads="1"/>
        </xdr:cNvSpPr>
      </xdr:nvSpPr>
      <xdr:spPr bwMode="auto">
        <a:xfrm>
          <a:off x="4333875" y="8048625"/>
          <a:ext cx="1590675" cy="942975"/>
        </a:xfrm>
        <a:prstGeom prst="rect">
          <a:avLst/>
        </a:prstGeom>
        <a:noFill/>
        <a:ln w="9525">
          <a:no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System boundary for</a:t>
          </a:r>
        </a:p>
        <a:p>
          <a:pPr algn="l" rtl="0">
            <a:defRPr sz="1000"/>
          </a:pPr>
          <a:r>
            <a:rPr lang="en-AU" sz="1200" b="1" i="0" u="none" strike="noStrike" baseline="0">
              <a:solidFill>
                <a:srgbClr val="000000"/>
              </a:solidFill>
              <a:latin typeface="Arial"/>
              <a:cs typeface="Arial"/>
            </a:rPr>
            <a:t>this LCA comparing</a:t>
          </a:r>
        </a:p>
        <a:p>
          <a:pPr algn="l" rtl="0">
            <a:defRPr sz="1000"/>
          </a:pPr>
          <a:r>
            <a:rPr lang="en-AU" sz="1200" b="1" i="0" u="none" strike="noStrike" baseline="0">
              <a:solidFill>
                <a:srgbClr val="000000"/>
              </a:solidFill>
              <a:latin typeface="Arial"/>
              <a:cs typeface="Arial"/>
            </a:rPr>
            <a:t>cements</a:t>
          </a:r>
        </a:p>
      </xdr:txBody>
    </xdr:sp>
    <xdr:clientData/>
  </xdr:twoCellAnchor>
  <xdr:twoCellAnchor>
    <xdr:from>
      <xdr:col>6</xdr:col>
      <xdr:colOff>628650</xdr:colOff>
      <xdr:row>35</xdr:row>
      <xdr:rowOff>66675</xdr:rowOff>
    </xdr:from>
    <xdr:to>
      <xdr:col>7</xdr:col>
      <xdr:colOff>647700</xdr:colOff>
      <xdr:row>35</xdr:row>
      <xdr:rowOff>66675</xdr:rowOff>
    </xdr:to>
    <xdr:sp macro="" textlink="">
      <xdr:nvSpPr>
        <xdr:cNvPr id="487787" name="Line 110"/>
        <xdr:cNvSpPr>
          <a:spLocks noChangeShapeType="1"/>
        </xdr:cNvSpPr>
      </xdr:nvSpPr>
      <xdr:spPr bwMode="auto">
        <a:xfrm flipV="1">
          <a:off x="5200650" y="6934200"/>
          <a:ext cx="78105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57151</xdr:colOff>
      <xdr:row>37</xdr:row>
      <xdr:rowOff>180975</xdr:rowOff>
    </xdr:from>
    <xdr:ext cx="857249" cy="200119"/>
    <xdr:sp macro="" textlink="">
      <xdr:nvSpPr>
        <xdr:cNvPr id="1142" name="Text Box 118"/>
        <xdr:cNvSpPr txBox="1">
          <a:spLocks noChangeArrowheads="1"/>
        </xdr:cNvSpPr>
      </xdr:nvSpPr>
      <xdr:spPr bwMode="auto">
        <a:xfrm>
          <a:off x="6153151" y="7429500"/>
          <a:ext cx="857249" cy="200119"/>
        </a:xfrm>
        <a:prstGeom prst="rect">
          <a:avLst/>
        </a:prstGeom>
        <a:solidFill>
          <a:srgbClr val="FFFFFF"/>
        </a:solidFill>
        <a:ln w="9525">
          <a:solidFill>
            <a:srgbClr val="000000"/>
          </a:solidFill>
          <a:miter lim="800000"/>
          <a:headEnd/>
          <a:tailEnd/>
        </a:ln>
      </xdr:spPr>
      <xdr:txBody>
        <a:bodyPr wrap="square" lIns="27432" tIns="22860" rIns="0" bIns="0" anchor="t" upright="1">
          <a:spAutoFit/>
        </a:bodyPr>
        <a:lstStyle/>
        <a:p>
          <a:pPr algn="l" rtl="0">
            <a:defRPr sz="1000"/>
          </a:pPr>
          <a:r>
            <a:rPr lang="en-AU" sz="1200" b="0" i="0" u="none" strike="noStrike" baseline="0">
              <a:solidFill>
                <a:srgbClr val="000000"/>
              </a:solidFill>
              <a:latin typeface="Arial"/>
              <a:cs typeface="Arial"/>
            </a:rPr>
            <a:t>Cement kiln</a:t>
          </a:r>
        </a:p>
      </xdr:txBody>
    </xdr:sp>
    <xdr:clientData/>
  </xdr:oneCellAnchor>
  <xdr:twoCellAnchor>
    <xdr:from>
      <xdr:col>8</xdr:col>
      <xdr:colOff>495300</xdr:colOff>
      <xdr:row>39</xdr:row>
      <xdr:rowOff>114300</xdr:rowOff>
    </xdr:from>
    <xdr:to>
      <xdr:col>8</xdr:col>
      <xdr:colOff>495300</xdr:colOff>
      <xdr:row>40</xdr:row>
      <xdr:rowOff>85725</xdr:rowOff>
    </xdr:to>
    <xdr:sp macro="" textlink="">
      <xdr:nvSpPr>
        <xdr:cNvPr id="487789" name="Line 119"/>
        <xdr:cNvSpPr>
          <a:spLocks noChangeShapeType="1"/>
        </xdr:cNvSpPr>
      </xdr:nvSpPr>
      <xdr:spPr bwMode="auto">
        <a:xfrm>
          <a:off x="6591300" y="774382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333375</xdr:colOff>
      <xdr:row>39</xdr:row>
      <xdr:rowOff>47625</xdr:rowOff>
    </xdr:from>
    <xdr:to>
      <xdr:col>10</xdr:col>
      <xdr:colOff>333375</xdr:colOff>
      <xdr:row>40</xdr:row>
      <xdr:rowOff>19050</xdr:rowOff>
    </xdr:to>
    <xdr:sp macro="" textlink="">
      <xdr:nvSpPr>
        <xdr:cNvPr id="487790" name="Line 121"/>
        <xdr:cNvSpPr>
          <a:spLocks noChangeShapeType="1"/>
        </xdr:cNvSpPr>
      </xdr:nvSpPr>
      <xdr:spPr bwMode="auto">
        <a:xfrm>
          <a:off x="7953375" y="7677150"/>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571500</xdr:colOff>
      <xdr:row>27</xdr:row>
      <xdr:rowOff>104775</xdr:rowOff>
    </xdr:from>
    <xdr:ext cx="1438599" cy="200119"/>
    <xdr:sp macro="" textlink="">
      <xdr:nvSpPr>
        <xdr:cNvPr id="1147" name="Text Box 123"/>
        <xdr:cNvSpPr txBox="1">
          <a:spLocks noChangeArrowheads="1"/>
        </xdr:cNvSpPr>
      </xdr:nvSpPr>
      <xdr:spPr bwMode="auto">
        <a:xfrm>
          <a:off x="6667500" y="5448300"/>
          <a:ext cx="1438599"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n-AU" sz="1200" b="0" i="0" u="none" strike="noStrike" baseline="0">
              <a:solidFill>
                <a:srgbClr val="000000"/>
              </a:solidFill>
              <a:latin typeface="Arial"/>
              <a:cs typeface="Arial"/>
            </a:rPr>
            <a:t>Resources in ground</a:t>
          </a:r>
        </a:p>
      </xdr:txBody>
    </xdr:sp>
    <xdr:clientData/>
  </xdr:oneCellAnchor>
  <xdr:oneCellAnchor>
    <xdr:from>
      <xdr:col>9</xdr:col>
      <xdr:colOff>209550</xdr:colOff>
      <xdr:row>54</xdr:row>
      <xdr:rowOff>104775</xdr:rowOff>
    </xdr:from>
    <xdr:ext cx="1079463" cy="200119"/>
    <xdr:sp macro="" textlink="">
      <xdr:nvSpPr>
        <xdr:cNvPr id="1148" name="Text Box 124"/>
        <xdr:cNvSpPr txBox="1">
          <a:spLocks noChangeArrowheads="1"/>
        </xdr:cNvSpPr>
      </xdr:nvSpPr>
      <xdr:spPr bwMode="auto">
        <a:xfrm>
          <a:off x="7067550" y="10591800"/>
          <a:ext cx="107946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n-AU" sz="1200" b="0" i="0" u="none" strike="noStrike" baseline="0">
              <a:solidFill>
                <a:srgbClr val="000000"/>
              </a:solidFill>
              <a:latin typeface="Arial"/>
              <a:cs typeface="Arial"/>
            </a:rPr>
            <a:t>1 tonne cement</a:t>
          </a:r>
        </a:p>
      </xdr:txBody>
    </xdr:sp>
    <xdr:clientData/>
  </xdr:oneCellAnchor>
  <xdr:twoCellAnchor>
    <xdr:from>
      <xdr:col>9</xdr:col>
      <xdr:colOff>0</xdr:colOff>
      <xdr:row>28</xdr:row>
      <xdr:rowOff>114300</xdr:rowOff>
    </xdr:from>
    <xdr:to>
      <xdr:col>9</xdr:col>
      <xdr:colOff>133350</xdr:colOff>
      <xdr:row>29</xdr:row>
      <xdr:rowOff>171450</xdr:rowOff>
    </xdr:to>
    <xdr:sp macro="" textlink="">
      <xdr:nvSpPr>
        <xdr:cNvPr id="487793" name="AutoShape 126"/>
        <xdr:cNvSpPr>
          <a:spLocks noChangeArrowheads="1"/>
        </xdr:cNvSpPr>
      </xdr:nvSpPr>
      <xdr:spPr bwMode="auto">
        <a:xfrm>
          <a:off x="6858000" y="5648325"/>
          <a:ext cx="133350" cy="247650"/>
        </a:xfrm>
        <a:prstGeom prst="downArrow">
          <a:avLst>
            <a:gd name="adj1" fmla="val 50000"/>
            <a:gd name="adj2" fmla="val 46429"/>
          </a:avLst>
        </a:prstGeom>
        <a:solidFill>
          <a:srgbClr val="FFFFFF"/>
        </a:solidFill>
        <a:ln w="9525">
          <a:solidFill>
            <a:srgbClr val="000000"/>
          </a:solidFill>
          <a:miter lim="800000"/>
          <a:headEnd/>
          <a:tailEnd/>
        </a:ln>
      </xdr:spPr>
    </xdr:sp>
    <xdr:clientData/>
  </xdr:twoCellAnchor>
  <xdr:twoCellAnchor>
    <xdr:from>
      <xdr:col>9</xdr:col>
      <xdr:colOff>590550</xdr:colOff>
      <xdr:row>52</xdr:row>
      <xdr:rowOff>180975</xdr:rowOff>
    </xdr:from>
    <xdr:to>
      <xdr:col>9</xdr:col>
      <xdr:colOff>714375</xdr:colOff>
      <xdr:row>54</xdr:row>
      <xdr:rowOff>133350</xdr:rowOff>
    </xdr:to>
    <xdr:sp macro="" textlink="">
      <xdr:nvSpPr>
        <xdr:cNvPr id="487794" name="AutoShape 127"/>
        <xdr:cNvSpPr>
          <a:spLocks noChangeArrowheads="1"/>
        </xdr:cNvSpPr>
      </xdr:nvSpPr>
      <xdr:spPr bwMode="auto">
        <a:xfrm>
          <a:off x="7448550" y="10287000"/>
          <a:ext cx="123825" cy="333375"/>
        </a:xfrm>
        <a:prstGeom prst="downArrow">
          <a:avLst>
            <a:gd name="adj1" fmla="val 50000"/>
            <a:gd name="adj2" fmla="val 48214"/>
          </a:avLst>
        </a:prstGeom>
        <a:solidFill>
          <a:srgbClr val="FFFFFF"/>
        </a:solidFill>
        <a:ln w="9525">
          <a:solidFill>
            <a:srgbClr val="000000"/>
          </a:solidFill>
          <a:miter lim="800000"/>
          <a:headEnd/>
          <a:tailEnd/>
        </a:ln>
      </xdr:spPr>
    </xdr:sp>
    <xdr:clientData/>
  </xdr:twoCellAnchor>
  <xdr:oneCellAnchor>
    <xdr:from>
      <xdr:col>11</xdr:col>
      <xdr:colOff>238125</xdr:colOff>
      <xdr:row>36</xdr:row>
      <xdr:rowOff>85725</xdr:rowOff>
    </xdr:from>
    <xdr:ext cx="315599" cy="200119"/>
    <xdr:sp macro="" textlink="">
      <xdr:nvSpPr>
        <xdr:cNvPr id="1248" name="Text Box 224"/>
        <xdr:cNvSpPr txBox="1">
          <a:spLocks noChangeArrowheads="1"/>
        </xdr:cNvSpPr>
      </xdr:nvSpPr>
      <xdr:spPr bwMode="auto">
        <a:xfrm>
          <a:off x="8620125" y="7143750"/>
          <a:ext cx="315599" cy="200119"/>
        </a:xfrm>
        <a:prstGeom prst="rect">
          <a:avLst/>
        </a:prstGeom>
        <a:noFill/>
        <a:ln w="9525">
          <a:noFill/>
          <a:miter lim="800000"/>
          <a:headEnd/>
          <a:tailEnd/>
        </a:ln>
      </xdr:spPr>
      <xdr:txBody>
        <a:bodyPr wrap="none" lIns="27432" tIns="22860" rIns="0" bIns="0" anchor="t" upright="1">
          <a:spAutoFit/>
        </a:bodyPr>
        <a:lstStyle/>
        <a:p>
          <a:pPr algn="l" rtl="0">
            <a:defRPr sz="1000"/>
          </a:pPr>
          <a:r>
            <a:rPr lang="en-AU" sz="1200" b="0" i="0" u="none" strike="noStrike" baseline="0">
              <a:solidFill>
                <a:srgbClr val="000000"/>
              </a:solidFill>
              <a:latin typeface="Arial"/>
              <a:cs typeface="Arial"/>
            </a:rPr>
            <a:t>CO</a:t>
          </a:r>
          <a:r>
            <a:rPr lang="en-AU" sz="1200" b="0" i="0" u="none" strike="noStrike" baseline="-25000">
              <a:solidFill>
                <a:srgbClr val="000000"/>
              </a:solidFill>
              <a:latin typeface="Arial"/>
              <a:cs typeface="Arial"/>
            </a:rPr>
            <a:t>2</a:t>
          </a:r>
        </a:p>
      </xdr:txBody>
    </xdr:sp>
    <xdr:clientData/>
  </xdr:oneCellAnchor>
  <xdr:twoCellAnchor>
    <xdr:from>
      <xdr:col>8</xdr:col>
      <xdr:colOff>57150</xdr:colOff>
      <xdr:row>40</xdr:row>
      <xdr:rowOff>114300</xdr:rowOff>
    </xdr:from>
    <xdr:to>
      <xdr:col>9</xdr:col>
      <xdr:colOff>361950</xdr:colOff>
      <xdr:row>43</xdr:row>
      <xdr:rowOff>152400</xdr:rowOff>
    </xdr:to>
    <xdr:sp macro="" textlink="">
      <xdr:nvSpPr>
        <xdr:cNvPr id="1114" name="Text Box 90"/>
        <xdr:cNvSpPr txBox="1">
          <a:spLocks noChangeArrowheads="1"/>
        </xdr:cNvSpPr>
      </xdr:nvSpPr>
      <xdr:spPr bwMode="auto">
        <a:xfrm>
          <a:off x="6153150" y="7934325"/>
          <a:ext cx="1066800" cy="6096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Cement</a:t>
          </a:r>
        </a:p>
        <a:p>
          <a:pPr algn="l" rtl="0">
            <a:defRPr sz="1000"/>
          </a:pPr>
          <a:r>
            <a:rPr lang="en-AU" sz="1200" b="0" i="0" u="none" strike="noStrike" baseline="0">
              <a:solidFill>
                <a:srgbClr val="000000"/>
              </a:solidFill>
              <a:latin typeface="Arial"/>
              <a:cs typeface="Arial"/>
            </a:rPr>
            <a:t>final grinding and transport</a:t>
          </a:r>
        </a:p>
      </xdr:txBody>
    </xdr:sp>
    <xdr:clientData/>
  </xdr:twoCellAnchor>
  <xdr:twoCellAnchor>
    <xdr:from>
      <xdr:col>9</xdr:col>
      <xdr:colOff>647700</xdr:colOff>
      <xdr:row>40</xdr:row>
      <xdr:rowOff>104775</xdr:rowOff>
    </xdr:from>
    <xdr:to>
      <xdr:col>11</xdr:col>
      <xdr:colOff>200025</xdr:colOff>
      <xdr:row>43</xdr:row>
      <xdr:rowOff>152400</xdr:rowOff>
    </xdr:to>
    <xdr:sp macro="" textlink="">
      <xdr:nvSpPr>
        <xdr:cNvPr id="1115" name="Text Box 91"/>
        <xdr:cNvSpPr txBox="1">
          <a:spLocks noChangeArrowheads="1"/>
        </xdr:cNvSpPr>
      </xdr:nvSpPr>
      <xdr:spPr bwMode="auto">
        <a:xfrm>
          <a:off x="7505700" y="7924800"/>
          <a:ext cx="1076325" cy="6191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Magnesia</a:t>
          </a:r>
        </a:p>
        <a:p>
          <a:pPr algn="l" rtl="0">
            <a:defRPr sz="1000"/>
          </a:pPr>
          <a:r>
            <a:rPr lang="en-AU" sz="1200" b="0" i="0" u="none" strike="noStrike" baseline="0">
              <a:solidFill>
                <a:srgbClr val="000000"/>
              </a:solidFill>
              <a:latin typeface="Arial"/>
              <a:cs typeface="Arial"/>
            </a:rPr>
            <a:t>final grinding and transport</a:t>
          </a:r>
        </a:p>
      </xdr:txBody>
    </xdr:sp>
    <xdr:clientData/>
  </xdr:twoCellAnchor>
  <xdr:twoCellAnchor editAs="oneCell">
    <xdr:from>
      <xdr:col>6</xdr:col>
      <xdr:colOff>581025</xdr:colOff>
      <xdr:row>1</xdr:row>
      <xdr:rowOff>104775</xdr:rowOff>
    </xdr:from>
    <xdr:to>
      <xdr:col>14</xdr:col>
      <xdr:colOff>9525</xdr:colOff>
      <xdr:row>23</xdr:row>
      <xdr:rowOff>85725</xdr:rowOff>
    </xdr:to>
    <xdr:pic>
      <xdr:nvPicPr>
        <xdr:cNvPr id="487801" name="Picture 351" descr="LifeCycleAnalysi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53025" y="400050"/>
          <a:ext cx="5524500" cy="426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59</xdr:row>
      <xdr:rowOff>133350</xdr:rowOff>
    </xdr:from>
    <xdr:to>
      <xdr:col>5</xdr:col>
      <xdr:colOff>238125</xdr:colOff>
      <xdr:row>61</xdr:row>
      <xdr:rowOff>57150</xdr:rowOff>
    </xdr:to>
    <xdr:sp macro="" textlink="">
      <xdr:nvSpPr>
        <xdr:cNvPr id="487802" name="Line 262"/>
        <xdr:cNvSpPr>
          <a:spLocks noChangeShapeType="1"/>
        </xdr:cNvSpPr>
      </xdr:nvSpPr>
      <xdr:spPr bwMode="auto">
        <a:xfrm flipH="1" flipV="1">
          <a:off x="3190875" y="11572875"/>
          <a:ext cx="8572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323850</xdr:colOff>
      <xdr:row>64</xdr:row>
      <xdr:rowOff>47625</xdr:rowOff>
    </xdr:from>
    <xdr:to>
      <xdr:col>1</xdr:col>
      <xdr:colOff>485775</xdr:colOff>
      <xdr:row>65</xdr:row>
      <xdr:rowOff>47625</xdr:rowOff>
    </xdr:to>
    <xdr:sp macro="" textlink="">
      <xdr:nvSpPr>
        <xdr:cNvPr id="487803" name="AutoShape 352"/>
        <xdr:cNvSpPr>
          <a:spLocks noChangeArrowheads="1"/>
        </xdr:cNvSpPr>
      </xdr:nvSpPr>
      <xdr:spPr bwMode="auto">
        <a:xfrm rot="5400000">
          <a:off x="1071563" y="12453937"/>
          <a:ext cx="190500" cy="161925"/>
        </a:xfrm>
        <a:prstGeom prst="rightArrow">
          <a:avLst>
            <a:gd name="adj1" fmla="val 50000"/>
            <a:gd name="adj2" fmla="val 29412"/>
          </a:avLst>
        </a:prstGeom>
        <a:solidFill>
          <a:srgbClr val="FFFFFF"/>
        </a:solidFill>
        <a:ln w="9525">
          <a:solidFill>
            <a:srgbClr val="000000"/>
          </a:solidFill>
          <a:miter lim="800000"/>
          <a:headEnd/>
          <a:tailEnd/>
        </a:ln>
      </xdr:spPr>
    </xdr:sp>
    <xdr:clientData/>
  </xdr:twoCellAnchor>
  <xdr:twoCellAnchor>
    <xdr:from>
      <xdr:col>0</xdr:col>
      <xdr:colOff>180975</xdr:colOff>
      <xdr:row>65</xdr:row>
      <xdr:rowOff>114300</xdr:rowOff>
    </xdr:from>
    <xdr:to>
      <xdr:col>4</xdr:col>
      <xdr:colOff>238125</xdr:colOff>
      <xdr:row>66</xdr:row>
      <xdr:rowOff>133350</xdr:rowOff>
    </xdr:to>
    <xdr:sp macro="" textlink="">
      <xdr:nvSpPr>
        <xdr:cNvPr id="1377" name="Text Box 353"/>
        <xdr:cNvSpPr txBox="1">
          <a:spLocks noChangeArrowheads="1"/>
        </xdr:cNvSpPr>
      </xdr:nvSpPr>
      <xdr:spPr bwMode="auto">
        <a:xfrm>
          <a:off x="180975" y="12696825"/>
          <a:ext cx="3105150" cy="209550"/>
        </a:xfrm>
        <a:prstGeom prst="rect">
          <a:avLst/>
        </a:prstGeom>
        <a:solidFill>
          <a:srgbClr val="FFFFFF"/>
        </a:solidFill>
        <a:ln w="25400" cmpd="thinThick">
          <a:solidFill>
            <a:srgbClr val="000000"/>
          </a:solid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000000"/>
              </a:solidFill>
              <a:latin typeface="Arial"/>
              <a:cs typeface="Arial"/>
            </a:rPr>
            <a:t>Man Made Carbonates and Valuable Salts</a:t>
          </a:r>
        </a:p>
      </xdr:txBody>
    </xdr:sp>
    <xdr:clientData/>
  </xdr:twoCellAnchor>
  <xdr:twoCellAnchor>
    <xdr:from>
      <xdr:col>15</xdr:col>
      <xdr:colOff>314325</xdr:colOff>
      <xdr:row>44</xdr:row>
      <xdr:rowOff>19050</xdr:rowOff>
    </xdr:from>
    <xdr:to>
      <xdr:col>16</xdr:col>
      <xdr:colOff>685800</xdr:colOff>
      <xdr:row>50</xdr:row>
      <xdr:rowOff>152400</xdr:rowOff>
    </xdr:to>
    <xdr:sp macro="" textlink="">
      <xdr:nvSpPr>
        <xdr:cNvPr id="121" name="Text Box 91"/>
        <xdr:cNvSpPr txBox="1">
          <a:spLocks noChangeArrowheads="1"/>
        </xdr:cNvSpPr>
      </xdr:nvSpPr>
      <xdr:spPr bwMode="auto">
        <a:xfrm>
          <a:off x="11744325" y="8601075"/>
          <a:ext cx="1133475" cy="1276350"/>
        </a:xfrm>
        <a:prstGeom prst="rect">
          <a:avLst/>
        </a:prstGeom>
        <a:noFill/>
        <a:ln w="9525">
          <a:no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GBFS &amp; Fly Ash - Transferred in embodied energy or emmissions as well as cartage</a:t>
          </a:r>
        </a:p>
        <a:p>
          <a:pPr algn="l" rtl="0">
            <a:defRPr sz="1000"/>
          </a:pPr>
          <a:endParaRPr lang="en-AU" sz="1200" b="0" i="0" u="none" strike="noStrike" baseline="0">
            <a:solidFill>
              <a:srgbClr val="000000"/>
            </a:solidFill>
            <a:latin typeface="Arial"/>
            <a:cs typeface="Arial"/>
          </a:endParaRPr>
        </a:p>
      </xdr:txBody>
    </xdr:sp>
    <xdr:clientData/>
  </xdr:twoCellAnchor>
  <xdr:twoCellAnchor>
    <xdr:from>
      <xdr:col>10</xdr:col>
      <xdr:colOff>190499</xdr:colOff>
      <xdr:row>43</xdr:row>
      <xdr:rowOff>180975</xdr:rowOff>
    </xdr:from>
    <xdr:to>
      <xdr:col>10</xdr:col>
      <xdr:colOff>295275</xdr:colOff>
      <xdr:row>45</xdr:row>
      <xdr:rowOff>152399</xdr:rowOff>
    </xdr:to>
    <xdr:sp macro="" textlink="">
      <xdr:nvSpPr>
        <xdr:cNvPr id="126" name="Line 105"/>
        <xdr:cNvSpPr>
          <a:spLocks noChangeShapeType="1"/>
        </xdr:cNvSpPr>
      </xdr:nvSpPr>
      <xdr:spPr bwMode="auto">
        <a:xfrm flipH="1">
          <a:off x="7810499" y="8572500"/>
          <a:ext cx="104776" cy="3524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123825</xdr:colOff>
      <xdr:row>22</xdr:row>
      <xdr:rowOff>66675</xdr:rowOff>
    </xdr:from>
    <xdr:to>
      <xdr:col>13</xdr:col>
      <xdr:colOff>561975</xdr:colOff>
      <xdr:row>29</xdr:row>
      <xdr:rowOff>123825</xdr:rowOff>
    </xdr:to>
    <xdr:sp macro="" textlink="">
      <xdr:nvSpPr>
        <xdr:cNvPr id="2" name="TextBox 1"/>
        <xdr:cNvSpPr txBox="1"/>
      </xdr:nvSpPr>
      <xdr:spPr>
        <a:xfrm>
          <a:off x="9267825" y="4457700"/>
          <a:ext cx="12001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latin typeface="Arial" pitchFamily="34" charset="0"/>
              <a:cs typeface="Arial" pitchFamily="34" charset="0"/>
            </a:rPr>
            <a:t>CO</a:t>
          </a:r>
          <a:r>
            <a:rPr lang="en-AU" sz="1200" baseline="-25000">
              <a:latin typeface="Arial" pitchFamily="34" charset="0"/>
              <a:cs typeface="Arial" pitchFamily="34" charset="0"/>
            </a:rPr>
            <a:t>2 </a:t>
          </a:r>
        </a:p>
        <a:p>
          <a:r>
            <a:rPr lang="en-AU" sz="1200">
              <a:latin typeface="Arial" pitchFamily="34" charset="0"/>
              <a:cs typeface="Arial" pitchFamily="34" charset="0"/>
            </a:rPr>
            <a:t>Seawater</a:t>
          </a:r>
        </a:p>
        <a:p>
          <a:r>
            <a:rPr lang="en-AU" sz="1200">
              <a:latin typeface="Arial" pitchFamily="34" charset="0"/>
              <a:cs typeface="Arial" pitchFamily="34" charset="0"/>
            </a:rPr>
            <a:t>Oil Process Water</a:t>
          </a:r>
        </a:p>
        <a:p>
          <a:r>
            <a:rPr lang="en-AU" sz="1200">
              <a:latin typeface="Arial" pitchFamily="34" charset="0"/>
              <a:cs typeface="Arial" pitchFamily="34" charset="0"/>
            </a:rPr>
            <a:t>Brine</a:t>
          </a:r>
        </a:p>
        <a:p>
          <a:r>
            <a:rPr lang="en-AU" sz="1200">
              <a:latin typeface="Arial" pitchFamily="34" charset="0"/>
              <a:cs typeface="Arial" pitchFamily="34" charset="0"/>
            </a:rPr>
            <a:t>Bitterns</a:t>
          </a:r>
        </a:p>
        <a:p>
          <a:r>
            <a:rPr lang="en-AU" sz="1200">
              <a:latin typeface="Arial" pitchFamily="34" charset="0"/>
              <a:cs typeface="Arial" pitchFamily="34" charset="0"/>
            </a:rPr>
            <a:t>De-Sal Water</a:t>
          </a:r>
        </a:p>
      </xdr:txBody>
    </xdr:sp>
    <xdr:clientData/>
  </xdr:twoCellAnchor>
  <xdr:twoCellAnchor>
    <xdr:from>
      <xdr:col>11</xdr:col>
      <xdr:colOff>590550</xdr:colOff>
      <xdr:row>44</xdr:row>
      <xdr:rowOff>142875</xdr:rowOff>
    </xdr:from>
    <xdr:to>
      <xdr:col>14</xdr:col>
      <xdr:colOff>314325</xdr:colOff>
      <xdr:row>50</xdr:row>
      <xdr:rowOff>0</xdr:rowOff>
    </xdr:to>
    <xdr:sp macro="" textlink="">
      <xdr:nvSpPr>
        <xdr:cNvPr id="110" name="Oval 92"/>
        <xdr:cNvSpPr>
          <a:spLocks noChangeArrowheads="1"/>
        </xdr:cNvSpPr>
      </xdr:nvSpPr>
      <xdr:spPr bwMode="auto">
        <a:xfrm>
          <a:off x="8972550" y="8724900"/>
          <a:ext cx="2009775" cy="1000125"/>
        </a:xfrm>
        <a:prstGeom prst="ellipse">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en-AU" sz="1100" b="0" i="0" u="none" strike="noStrike" baseline="0">
              <a:solidFill>
                <a:srgbClr val="000000"/>
              </a:solidFill>
              <a:latin typeface="Arial"/>
              <a:cs typeface="Arial"/>
            </a:rPr>
            <a:t>Blending &amp; Agglomerating to make Synthetic Carbonate Aggregate.</a:t>
          </a:r>
        </a:p>
      </xdr:txBody>
    </xdr:sp>
    <xdr:clientData/>
  </xdr:twoCellAnchor>
  <xdr:twoCellAnchor>
    <xdr:from>
      <xdr:col>10</xdr:col>
      <xdr:colOff>9525</xdr:colOff>
      <xdr:row>28</xdr:row>
      <xdr:rowOff>123826</xdr:rowOff>
    </xdr:from>
    <xdr:to>
      <xdr:col>10</xdr:col>
      <xdr:colOff>133350</xdr:colOff>
      <xdr:row>30</xdr:row>
      <xdr:rowOff>114300</xdr:rowOff>
    </xdr:to>
    <xdr:sp macro="" textlink="">
      <xdr:nvSpPr>
        <xdr:cNvPr id="111" name="AutoShape 126"/>
        <xdr:cNvSpPr>
          <a:spLocks noChangeArrowheads="1"/>
        </xdr:cNvSpPr>
      </xdr:nvSpPr>
      <xdr:spPr bwMode="auto">
        <a:xfrm>
          <a:off x="7629525" y="5657851"/>
          <a:ext cx="123825" cy="371474"/>
        </a:xfrm>
        <a:prstGeom prst="downArrow">
          <a:avLst>
            <a:gd name="adj1" fmla="val 50000"/>
            <a:gd name="adj2" fmla="val 46429"/>
          </a:avLst>
        </a:prstGeom>
        <a:solidFill>
          <a:srgbClr val="FFFFFF"/>
        </a:solidFill>
        <a:ln w="9525">
          <a:solidFill>
            <a:srgbClr val="000000"/>
          </a:solidFill>
          <a:miter lim="800000"/>
          <a:headEnd/>
          <a:tailEnd/>
        </a:ln>
      </xdr:spPr>
    </xdr:sp>
    <xdr:clientData/>
  </xdr:twoCellAnchor>
  <xdr:twoCellAnchor>
    <xdr:from>
      <xdr:col>12</xdr:col>
      <xdr:colOff>291072</xdr:colOff>
      <xdr:row>29</xdr:row>
      <xdr:rowOff>46250</xdr:rowOff>
    </xdr:from>
    <xdr:to>
      <xdr:col>12</xdr:col>
      <xdr:colOff>429074</xdr:colOff>
      <xdr:row>31</xdr:row>
      <xdr:rowOff>113378</xdr:rowOff>
    </xdr:to>
    <xdr:sp macro="" textlink="">
      <xdr:nvSpPr>
        <xdr:cNvPr id="113" name="AutoShape 126"/>
        <xdr:cNvSpPr>
          <a:spLocks noChangeArrowheads="1"/>
        </xdr:cNvSpPr>
      </xdr:nvSpPr>
      <xdr:spPr bwMode="auto">
        <a:xfrm rot="755296">
          <a:off x="9435072" y="5770775"/>
          <a:ext cx="138002" cy="448128"/>
        </a:xfrm>
        <a:prstGeom prst="downArrow">
          <a:avLst>
            <a:gd name="adj1" fmla="val 50000"/>
            <a:gd name="adj2" fmla="val 46429"/>
          </a:avLst>
        </a:prstGeom>
        <a:solidFill>
          <a:srgbClr val="FFFFFF"/>
        </a:solidFill>
        <a:ln w="9525">
          <a:solidFill>
            <a:srgbClr val="000000"/>
          </a:solidFill>
          <a:miter lim="800000"/>
          <a:headEnd/>
          <a:tailEnd/>
        </a:ln>
      </xdr:spPr>
    </xdr:sp>
    <xdr:clientData/>
  </xdr:twoCellAnchor>
  <xdr:twoCellAnchor>
    <xdr:from>
      <xdr:col>10</xdr:col>
      <xdr:colOff>723900</xdr:colOff>
      <xdr:row>37</xdr:row>
      <xdr:rowOff>57149</xdr:rowOff>
    </xdr:from>
    <xdr:to>
      <xdr:col>11</xdr:col>
      <xdr:colOff>247650</xdr:colOff>
      <xdr:row>38</xdr:row>
      <xdr:rowOff>9524</xdr:rowOff>
    </xdr:to>
    <xdr:sp macro="" textlink="">
      <xdr:nvSpPr>
        <xdr:cNvPr id="116" name="Line 344"/>
        <xdr:cNvSpPr>
          <a:spLocks noChangeShapeType="1"/>
        </xdr:cNvSpPr>
      </xdr:nvSpPr>
      <xdr:spPr bwMode="auto">
        <a:xfrm flipV="1">
          <a:off x="8343900" y="7305674"/>
          <a:ext cx="28575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266699</xdr:colOff>
      <xdr:row>34</xdr:row>
      <xdr:rowOff>76200</xdr:rowOff>
    </xdr:from>
    <xdr:to>
      <xdr:col>12</xdr:col>
      <xdr:colOff>504825</xdr:colOff>
      <xdr:row>37</xdr:row>
      <xdr:rowOff>38100</xdr:rowOff>
    </xdr:to>
    <xdr:sp macro="" textlink="">
      <xdr:nvSpPr>
        <xdr:cNvPr id="117" name="Line 223"/>
        <xdr:cNvSpPr>
          <a:spLocks noChangeShapeType="1"/>
        </xdr:cNvSpPr>
      </xdr:nvSpPr>
      <xdr:spPr bwMode="auto">
        <a:xfrm>
          <a:off x="9410699" y="6753225"/>
          <a:ext cx="238126"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438150</xdr:colOff>
      <xdr:row>31</xdr:row>
      <xdr:rowOff>161925</xdr:rowOff>
    </xdr:from>
    <xdr:to>
      <xdr:col>12</xdr:col>
      <xdr:colOff>657225</xdr:colOff>
      <xdr:row>34</xdr:row>
      <xdr:rowOff>19050</xdr:rowOff>
    </xdr:to>
    <xdr:sp macro="" textlink="">
      <xdr:nvSpPr>
        <xdr:cNvPr id="118" name="Text Box 87"/>
        <xdr:cNvSpPr txBox="1">
          <a:spLocks noChangeArrowheads="1"/>
        </xdr:cNvSpPr>
      </xdr:nvSpPr>
      <xdr:spPr bwMode="auto">
        <a:xfrm>
          <a:off x="8820150" y="6267450"/>
          <a:ext cx="981075" cy="4286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rtl="0"/>
          <a:r>
            <a:rPr lang="en-AU" sz="1100" b="0" i="0" baseline="0">
              <a:effectLst/>
              <a:latin typeface="+mn-lt"/>
              <a:ea typeface="+mn-ea"/>
              <a:cs typeface="+mn-cs"/>
            </a:rPr>
            <a:t>      </a:t>
          </a:r>
          <a:r>
            <a:rPr lang="en-AU" sz="1200" b="0" i="0" baseline="0">
              <a:effectLst/>
              <a:latin typeface="Arial" pitchFamily="34" charset="0"/>
              <a:ea typeface="+mn-ea"/>
              <a:cs typeface="Arial" pitchFamily="34" charset="0"/>
            </a:rPr>
            <a:t>N-Mg</a:t>
          </a:r>
          <a:br>
            <a:rPr lang="en-AU" sz="1200" b="0" i="0" baseline="0">
              <a:effectLst/>
              <a:latin typeface="Arial" pitchFamily="34" charset="0"/>
              <a:ea typeface="+mn-ea"/>
              <a:cs typeface="Arial" pitchFamily="34" charset="0"/>
            </a:rPr>
          </a:br>
          <a:r>
            <a:rPr lang="en-AU" sz="1200" b="0" i="0" baseline="0">
              <a:effectLst/>
              <a:latin typeface="Arial" pitchFamily="34" charset="0"/>
              <a:ea typeface="+mn-ea"/>
              <a:cs typeface="Arial" pitchFamily="34" charset="0"/>
            </a:rPr>
            <a:t>    process</a:t>
          </a:r>
          <a:endParaRPr lang="en-AU" sz="1200">
            <a:effectLst/>
            <a:latin typeface="Arial" pitchFamily="34" charset="0"/>
            <a:cs typeface="Arial" pitchFamily="34" charset="0"/>
          </a:endParaRPr>
        </a:p>
      </xdr:txBody>
    </xdr:sp>
    <xdr:clientData/>
  </xdr:twoCellAnchor>
  <xdr:twoCellAnchor>
    <xdr:from>
      <xdr:col>12</xdr:col>
      <xdr:colOff>152400</xdr:colOff>
      <xdr:row>37</xdr:row>
      <xdr:rowOff>104775</xdr:rowOff>
    </xdr:from>
    <xdr:to>
      <xdr:col>13</xdr:col>
      <xdr:colOff>571500</xdr:colOff>
      <xdr:row>39</xdr:row>
      <xdr:rowOff>152400</xdr:rowOff>
    </xdr:to>
    <xdr:sp macro="" textlink="">
      <xdr:nvSpPr>
        <xdr:cNvPr id="119" name="Text Box 87"/>
        <xdr:cNvSpPr txBox="1">
          <a:spLocks noChangeArrowheads="1"/>
        </xdr:cNvSpPr>
      </xdr:nvSpPr>
      <xdr:spPr bwMode="auto">
        <a:xfrm>
          <a:off x="9296400" y="7353300"/>
          <a:ext cx="1181100" cy="4286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rtl="0"/>
          <a:r>
            <a:rPr lang="en-AU" sz="1200" b="0" i="0" baseline="0">
              <a:effectLst/>
              <a:latin typeface="Arial" pitchFamily="34" charset="0"/>
              <a:ea typeface="+mn-ea"/>
              <a:cs typeface="Arial" pitchFamily="34" charset="0"/>
            </a:rPr>
            <a:t>Nesquehonite</a:t>
          </a:r>
          <a:br>
            <a:rPr lang="en-AU" sz="1200" b="0" i="0" baseline="0">
              <a:effectLst/>
              <a:latin typeface="Arial" pitchFamily="34" charset="0"/>
              <a:ea typeface="+mn-ea"/>
              <a:cs typeface="Arial" pitchFamily="34" charset="0"/>
            </a:rPr>
          </a:br>
          <a:r>
            <a:rPr lang="en-AU" sz="1200" b="0" i="0" baseline="0">
              <a:effectLst/>
              <a:latin typeface="Arial" pitchFamily="34" charset="0"/>
              <a:ea typeface="+mn-ea"/>
              <a:cs typeface="Arial" pitchFamily="34" charset="0"/>
            </a:rPr>
            <a:t>(MgCO</a:t>
          </a:r>
          <a:r>
            <a:rPr lang="en-AU" sz="1200" b="0" i="0" baseline="-25000">
              <a:effectLst/>
              <a:latin typeface="Arial" pitchFamily="34" charset="0"/>
              <a:ea typeface="+mn-ea"/>
              <a:cs typeface="Arial" pitchFamily="34" charset="0"/>
            </a:rPr>
            <a:t>3</a:t>
          </a:r>
          <a:r>
            <a:rPr lang="en-AU" sz="1200" b="0" i="0" baseline="0">
              <a:effectLst/>
              <a:latin typeface="Arial" pitchFamily="34" charset="0"/>
              <a:ea typeface="+mn-ea"/>
              <a:cs typeface="Arial" pitchFamily="34" charset="0"/>
            </a:rPr>
            <a:t>.3H</a:t>
          </a:r>
          <a:r>
            <a:rPr lang="en-AU" sz="1200" b="0" i="0" baseline="-25000">
              <a:effectLst/>
              <a:latin typeface="Arial" pitchFamily="34" charset="0"/>
              <a:ea typeface="+mn-ea"/>
              <a:cs typeface="Arial" pitchFamily="34" charset="0"/>
            </a:rPr>
            <a:t>2</a:t>
          </a:r>
          <a:r>
            <a:rPr lang="en-AU" sz="1200" b="0" i="0" baseline="0">
              <a:effectLst/>
              <a:latin typeface="Arial" pitchFamily="34" charset="0"/>
              <a:ea typeface="+mn-ea"/>
              <a:cs typeface="Arial" pitchFamily="34" charset="0"/>
            </a:rPr>
            <a:t>O</a:t>
          </a:r>
          <a:endParaRPr lang="en-AU" sz="1200">
            <a:effectLst/>
            <a:latin typeface="Arial" pitchFamily="34" charset="0"/>
            <a:cs typeface="Arial" pitchFamily="34" charset="0"/>
          </a:endParaRPr>
        </a:p>
      </xdr:txBody>
    </xdr:sp>
    <xdr:clientData/>
  </xdr:twoCellAnchor>
  <xdr:twoCellAnchor>
    <xdr:from>
      <xdr:col>11</xdr:col>
      <xdr:colOff>76200</xdr:colOff>
      <xdr:row>47</xdr:row>
      <xdr:rowOff>95247</xdr:rowOff>
    </xdr:from>
    <xdr:to>
      <xdr:col>11</xdr:col>
      <xdr:colOff>571500</xdr:colOff>
      <xdr:row>47</xdr:row>
      <xdr:rowOff>95250</xdr:rowOff>
    </xdr:to>
    <xdr:sp macro="" textlink="">
      <xdr:nvSpPr>
        <xdr:cNvPr id="120" name="Line 105"/>
        <xdr:cNvSpPr>
          <a:spLocks noChangeShapeType="1"/>
        </xdr:cNvSpPr>
      </xdr:nvSpPr>
      <xdr:spPr bwMode="auto">
        <a:xfrm>
          <a:off x="8458200" y="9248772"/>
          <a:ext cx="495300" cy="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685801</xdr:colOff>
      <xdr:row>40</xdr:row>
      <xdr:rowOff>9525</xdr:rowOff>
    </xdr:from>
    <xdr:to>
      <xdr:col>12</xdr:col>
      <xdr:colOff>733425</xdr:colOff>
      <xdr:row>44</xdr:row>
      <xdr:rowOff>95250</xdr:rowOff>
    </xdr:to>
    <xdr:sp macro="" textlink="">
      <xdr:nvSpPr>
        <xdr:cNvPr id="127" name="Line 105"/>
        <xdr:cNvSpPr>
          <a:spLocks noChangeShapeType="1"/>
        </xdr:cNvSpPr>
      </xdr:nvSpPr>
      <xdr:spPr bwMode="auto">
        <a:xfrm>
          <a:off x="9829801" y="7829550"/>
          <a:ext cx="47624" cy="847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12</xdr:col>
      <xdr:colOff>152400</xdr:colOff>
      <xdr:row>54</xdr:row>
      <xdr:rowOff>85725</xdr:rowOff>
    </xdr:from>
    <xdr:ext cx="1267976" cy="200119"/>
    <xdr:sp macro="" textlink="">
      <xdr:nvSpPr>
        <xdr:cNvPr id="128" name="Text Box 124"/>
        <xdr:cNvSpPr txBox="1">
          <a:spLocks noChangeArrowheads="1"/>
        </xdr:cNvSpPr>
      </xdr:nvSpPr>
      <xdr:spPr bwMode="auto">
        <a:xfrm>
          <a:off x="9296400" y="10572750"/>
          <a:ext cx="1267976"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n-AU" sz="1200" b="0" i="0" u="none" strike="noStrike" baseline="0">
              <a:solidFill>
                <a:srgbClr val="000000"/>
              </a:solidFill>
              <a:latin typeface="Arial"/>
              <a:cs typeface="Arial"/>
            </a:rPr>
            <a:t>1 tonne aggregate</a:t>
          </a:r>
        </a:p>
      </xdr:txBody>
    </xdr:sp>
    <xdr:clientData/>
  </xdr:oneCellAnchor>
  <xdr:twoCellAnchor>
    <xdr:from>
      <xdr:col>12</xdr:col>
      <xdr:colOff>666750</xdr:colOff>
      <xdr:row>50</xdr:row>
      <xdr:rowOff>38101</xdr:rowOff>
    </xdr:from>
    <xdr:to>
      <xdr:col>13</xdr:col>
      <xdr:colOff>38100</xdr:colOff>
      <xdr:row>54</xdr:row>
      <xdr:rowOff>114301</xdr:rowOff>
    </xdr:to>
    <xdr:sp macro="" textlink="">
      <xdr:nvSpPr>
        <xdr:cNvPr id="132" name="AutoShape 127"/>
        <xdr:cNvSpPr>
          <a:spLocks noChangeArrowheads="1"/>
        </xdr:cNvSpPr>
      </xdr:nvSpPr>
      <xdr:spPr bwMode="auto">
        <a:xfrm>
          <a:off x="9810750" y="9763126"/>
          <a:ext cx="133350" cy="838200"/>
        </a:xfrm>
        <a:prstGeom prst="downArrow">
          <a:avLst>
            <a:gd name="adj1" fmla="val 50000"/>
            <a:gd name="adj2" fmla="val 48214"/>
          </a:avLst>
        </a:prstGeom>
        <a:solidFill>
          <a:srgbClr val="FFFFFF"/>
        </a:solidFill>
        <a:ln w="9525">
          <a:solidFill>
            <a:srgbClr val="000000"/>
          </a:solidFill>
          <a:miter lim="800000"/>
          <a:headEnd/>
          <a:tailEnd/>
        </a:ln>
      </xdr:spPr>
    </xdr:sp>
    <xdr:clientData/>
  </xdr:twoCellAnchor>
  <xdr:twoCellAnchor>
    <xdr:from>
      <xdr:col>5</xdr:col>
      <xdr:colOff>647700</xdr:colOff>
      <xdr:row>44</xdr:row>
      <xdr:rowOff>104775</xdr:rowOff>
    </xdr:from>
    <xdr:to>
      <xdr:col>7</xdr:col>
      <xdr:colOff>257175</xdr:colOff>
      <xdr:row>51</xdr:row>
      <xdr:rowOff>47625</xdr:rowOff>
    </xdr:to>
    <xdr:sp macro="" textlink="">
      <xdr:nvSpPr>
        <xdr:cNvPr id="133" name="Text Box 91"/>
        <xdr:cNvSpPr txBox="1">
          <a:spLocks noChangeArrowheads="1"/>
        </xdr:cNvSpPr>
      </xdr:nvSpPr>
      <xdr:spPr bwMode="auto">
        <a:xfrm>
          <a:off x="4457700" y="8686800"/>
          <a:ext cx="1133475" cy="1276350"/>
        </a:xfrm>
        <a:prstGeom prst="rect">
          <a:avLst/>
        </a:prstGeom>
        <a:noFill/>
        <a:ln w="9525">
          <a:no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GBFS &amp; Fly Ash - Transferred in embodied energy or emmissions as well as cartage</a:t>
          </a:r>
        </a:p>
        <a:p>
          <a:pPr algn="l" rtl="0">
            <a:defRPr sz="1000"/>
          </a:pPr>
          <a:endParaRPr lang="en-AU" sz="1200" b="0" i="0" u="none" strike="noStrike" baseline="0">
            <a:solidFill>
              <a:srgbClr val="000000"/>
            </a:solidFill>
            <a:latin typeface="Arial"/>
            <a:cs typeface="Arial"/>
          </a:endParaRPr>
        </a:p>
      </xdr:txBody>
    </xdr:sp>
    <xdr:clientData/>
  </xdr:twoCellAnchor>
  <xdr:twoCellAnchor>
    <xdr:from>
      <xdr:col>14</xdr:col>
      <xdr:colOff>390524</xdr:colOff>
      <xdr:row>47</xdr:row>
      <xdr:rowOff>19053</xdr:rowOff>
    </xdr:from>
    <xdr:to>
      <xdr:col>15</xdr:col>
      <xdr:colOff>171449</xdr:colOff>
      <xdr:row>47</xdr:row>
      <xdr:rowOff>147188</xdr:rowOff>
    </xdr:to>
    <xdr:sp macro="" textlink="">
      <xdr:nvSpPr>
        <xdr:cNvPr id="135" name="AutoShape 126"/>
        <xdr:cNvSpPr>
          <a:spLocks noChangeArrowheads="1"/>
        </xdr:cNvSpPr>
      </xdr:nvSpPr>
      <xdr:spPr bwMode="auto">
        <a:xfrm rot="5400000">
          <a:off x="11265919" y="8965183"/>
          <a:ext cx="128135" cy="542925"/>
        </a:xfrm>
        <a:prstGeom prst="downArrow">
          <a:avLst>
            <a:gd name="adj1" fmla="val 50000"/>
            <a:gd name="adj2" fmla="val 46429"/>
          </a:avLst>
        </a:prstGeom>
        <a:solidFill>
          <a:srgbClr val="FFFFFF"/>
        </a:solidFill>
        <a:ln w="9525">
          <a:solidFill>
            <a:srgbClr val="000000"/>
          </a:solidFill>
          <a:miter lim="800000"/>
          <a:headEnd/>
          <a:tailEnd/>
        </a:ln>
      </xdr:spPr>
    </xdr:sp>
    <xdr:clientData/>
  </xdr:twoCellAnchor>
  <xdr:twoCellAnchor>
    <xdr:from>
      <xdr:col>7</xdr:col>
      <xdr:colOff>238124</xdr:colOff>
      <xdr:row>47</xdr:row>
      <xdr:rowOff>19049</xdr:rowOff>
    </xdr:from>
    <xdr:to>
      <xdr:col>8</xdr:col>
      <xdr:colOff>19049</xdr:colOff>
      <xdr:row>47</xdr:row>
      <xdr:rowOff>147187</xdr:rowOff>
    </xdr:to>
    <xdr:sp macro="" textlink="">
      <xdr:nvSpPr>
        <xdr:cNvPr id="136" name="AutoShape 126"/>
        <xdr:cNvSpPr>
          <a:spLocks noChangeArrowheads="1"/>
        </xdr:cNvSpPr>
      </xdr:nvSpPr>
      <xdr:spPr bwMode="auto">
        <a:xfrm rot="16200000">
          <a:off x="5779518" y="8965180"/>
          <a:ext cx="128138" cy="542925"/>
        </a:xfrm>
        <a:prstGeom prst="downArrow">
          <a:avLst>
            <a:gd name="adj1" fmla="val 50000"/>
            <a:gd name="adj2" fmla="val 46429"/>
          </a:avLst>
        </a:prstGeom>
        <a:solidFill>
          <a:srgbClr val="FFFFFF"/>
        </a:solidFill>
        <a:ln w="9525">
          <a:solidFill>
            <a:srgbClr val="000000"/>
          </a:solidFill>
          <a:miter lim="800000"/>
          <a:headEnd/>
          <a:tailEnd/>
        </a:ln>
      </xdr:spPr>
    </xdr:sp>
    <xdr:clientData/>
  </xdr:twoCellAnchor>
  <xdr:twoCellAnchor editAs="oneCell">
    <xdr:from>
      <xdr:col>0</xdr:col>
      <xdr:colOff>0</xdr:colOff>
      <xdr:row>54</xdr:row>
      <xdr:rowOff>0</xdr:rowOff>
    </xdr:from>
    <xdr:to>
      <xdr:col>0</xdr:col>
      <xdr:colOff>142875</xdr:colOff>
      <xdr:row>54</xdr:row>
      <xdr:rowOff>142875</xdr:rowOff>
    </xdr:to>
    <xdr:pic>
      <xdr:nvPicPr>
        <xdr:cNvPr id="137" name="Picture 136" descr="C:\Program Files (x86)\Microsoft Office\MEDIA\OFFICE14\Bullets\BD14790_.gif"/>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487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142875</xdr:colOff>
      <xdr:row>54</xdr:row>
      <xdr:rowOff>142875</xdr:rowOff>
    </xdr:to>
    <xdr:pic>
      <xdr:nvPicPr>
        <xdr:cNvPr id="138" name="Picture 137" descr="C:\Program Files (x86)\Microsoft Office\MEDIA\OFFICE14\Bullets\BD14791_.gif"/>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487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681758</xdr:colOff>
      <xdr:row>60</xdr:row>
      <xdr:rowOff>28575</xdr:rowOff>
    </xdr:from>
    <xdr:to>
      <xdr:col>12</xdr:col>
      <xdr:colOff>291112</xdr:colOff>
      <xdr:row>68</xdr:row>
      <xdr:rowOff>103823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7539758" y="11658600"/>
          <a:ext cx="1895354" cy="1599248"/>
        </a:xfrm>
        <a:prstGeom prst="rect">
          <a:avLst/>
        </a:prstGeom>
      </xdr:spPr>
    </xdr:pic>
    <xdr:clientData/>
  </xdr:twoCellAnchor>
  <xdr:twoCellAnchor editAs="oneCell">
    <xdr:from>
      <xdr:col>9</xdr:col>
      <xdr:colOff>119783</xdr:colOff>
      <xdr:row>81</xdr:row>
      <xdr:rowOff>28575</xdr:rowOff>
    </xdr:from>
    <xdr:to>
      <xdr:col>11</xdr:col>
      <xdr:colOff>491137</xdr:colOff>
      <xdr:row>89</xdr:row>
      <xdr:rowOff>103823</xdr:rowOff>
    </xdr:to>
    <xdr:pic>
      <xdr:nvPicPr>
        <xdr:cNvPr id="140" name="Picture 13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6977783" y="15659100"/>
          <a:ext cx="1895354" cy="15992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1809750</xdr:colOff>
      <xdr:row>3</xdr:row>
      <xdr:rowOff>123825</xdr:rowOff>
    </xdr:to>
    <xdr:pic>
      <xdr:nvPicPr>
        <xdr:cNvPr id="457937" name="Picture 1"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457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228600</xdr:colOff>
      <xdr:row>0</xdr:row>
      <xdr:rowOff>219075</xdr:rowOff>
    </xdr:from>
    <xdr:to>
      <xdr:col>6</xdr:col>
      <xdr:colOff>752475</xdr:colOff>
      <xdr:row>1</xdr:row>
      <xdr:rowOff>9525</xdr:rowOff>
    </xdr:to>
    <xdr:grpSp>
      <xdr:nvGrpSpPr>
        <xdr:cNvPr id="457938" name="Group 2"/>
        <xdr:cNvGrpSpPr>
          <a:grpSpLocks noChangeAspect="1"/>
        </xdr:cNvGrpSpPr>
      </xdr:nvGrpSpPr>
      <xdr:grpSpPr bwMode="auto">
        <a:xfrm>
          <a:off x="7277100" y="219075"/>
          <a:ext cx="523875" cy="81803"/>
          <a:chOff x="2676" y="3884"/>
          <a:chExt cx="6300" cy="2065"/>
        </a:xfrm>
      </xdr:grpSpPr>
      <xdr:sp macro="" textlink="">
        <xdr:nvSpPr>
          <xdr:cNvPr id="457939" name="Oval 3"/>
          <xdr:cNvSpPr>
            <a:spLocks noChangeAspect="1" noChangeArrowheads="1"/>
          </xdr:cNvSpPr>
        </xdr:nvSpPr>
        <xdr:spPr bwMode="auto">
          <a:xfrm>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0" name="Oval 4"/>
          <xdr:cNvSpPr>
            <a:spLocks noChangeAspect="1" noChangeArrowheads="1"/>
          </xdr:cNvSpPr>
        </xdr:nvSpPr>
        <xdr:spPr bwMode="auto">
          <a:xfrm rot="-30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1" name="Oval 5"/>
          <xdr:cNvSpPr>
            <a:spLocks noChangeAspect="1" noChangeArrowheads="1"/>
          </xdr:cNvSpPr>
        </xdr:nvSpPr>
        <xdr:spPr bwMode="auto">
          <a:xfrm rot="-66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2" name="Oval 6"/>
          <xdr:cNvSpPr>
            <a:spLocks noChangeAspect="1" noChangeArrowheads="1"/>
          </xdr:cNvSpPr>
        </xdr:nvSpPr>
        <xdr:spPr bwMode="auto">
          <a:xfrm rot="-96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3" name="Oval 7"/>
          <xdr:cNvSpPr>
            <a:spLocks noChangeAspect="1" noChangeArrowheads="1"/>
          </xdr:cNvSpPr>
        </xdr:nvSpPr>
        <xdr:spPr bwMode="auto">
          <a:xfrm rot="-132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4" name="Oval 8"/>
          <xdr:cNvSpPr>
            <a:spLocks noChangeAspect="1" noChangeArrowheads="1"/>
          </xdr:cNvSpPr>
        </xdr:nvSpPr>
        <xdr:spPr bwMode="auto">
          <a:xfrm rot="-168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5" name="Oval 9"/>
          <xdr:cNvSpPr>
            <a:spLocks noChangeAspect="1" noChangeArrowheads="1"/>
          </xdr:cNvSpPr>
        </xdr:nvSpPr>
        <xdr:spPr bwMode="auto">
          <a:xfrm rot="-198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6" name="Oval 10"/>
          <xdr:cNvSpPr>
            <a:spLocks noChangeAspect="1" noChangeArrowheads="1"/>
          </xdr:cNvSpPr>
        </xdr:nvSpPr>
        <xdr:spPr bwMode="auto">
          <a:xfrm rot="-234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7" name="Oval 11"/>
          <xdr:cNvSpPr>
            <a:spLocks noChangeAspect="1" noChangeArrowheads="1"/>
          </xdr:cNvSpPr>
        </xdr:nvSpPr>
        <xdr:spPr bwMode="auto">
          <a:xfrm rot="-270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8" name="Oval 12"/>
          <xdr:cNvSpPr>
            <a:spLocks noChangeAspect="1" noChangeArrowheads="1"/>
          </xdr:cNvSpPr>
        </xdr:nvSpPr>
        <xdr:spPr bwMode="auto">
          <a:xfrm rot="30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49" name="Oval 13"/>
          <xdr:cNvSpPr>
            <a:spLocks noChangeAspect="1" noChangeArrowheads="1"/>
          </xdr:cNvSpPr>
        </xdr:nvSpPr>
        <xdr:spPr bwMode="auto">
          <a:xfrm rot="234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0" name="Oval 14"/>
          <xdr:cNvSpPr>
            <a:spLocks noChangeAspect="1" noChangeArrowheads="1"/>
          </xdr:cNvSpPr>
        </xdr:nvSpPr>
        <xdr:spPr bwMode="auto">
          <a:xfrm rot="198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1" name="Oval 15"/>
          <xdr:cNvSpPr>
            <a:spLocks noChangeAspect="1" noChangeArrowheads="1"/>
          </xdr:cNvSpPr>
        </xdr:nvSpPr>
        <xdr:spPr bwMode="auto">
          <a:xfrm rot="168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2" name="Oval 16"/>
          <xdr:cNvSpPr>
            <a:spLocks noChangeAspect="1" noChangeArrowheads="1"/>
          </xdr:cNvSpPr>
        </xdr:nvSpPr>
        <xdr:spPr bwMode="auto">
          <a:xfrm rot="132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3" name="Oval 17"/>
          <xdr:cNvSpPr>
            <a:spLocks noChangeAspect="1" noChangeArrowheads="1"/>
          </xdr:cNvSpPr>
        </xdr:nvSpPr>
        <xdr:spPr bwMode="auto">
          <a:xfrm rot="96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4" name="Oval 18"/>
          <xdr:cNvSpPr>
            <a:spLocks noChangeAspect="1" noChangeArrowheads="1"/>
          </xdr:cNvSpPr>
        </xdr:nvSpPr>
        <xdr:spPr bwMode="auto">
          <a:xfrm rot="660000">
            <a:off x="2676" y="3943"/>
            <a:ext cx="6300" cy="2006"/>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7955" name="Oval 19"/>
          <xdr:cNvSpPr>
            <a:spLocks noChangeAspect="1" noChangeArrowheads="1"/>
          </xdr:cNvSpPr>
        </xdr:nvSpPr>
        <xdr:spPr bwMode="auto">
          <a:xfrm rot="2654793">
            <a:off x="2676" y="3884"/>
            <a:ext cx="6300" cy="2005"/>
          </a:xfrm>
          <a:prstGeom prst="ellipse">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19050</xdr:colOff>
      <xdr:row>0</xdr:row>
      <xdr:rowOff>114300</xdr:rowOff>
    </xdr:from>
    <xdr:to>
      <xdr:col>15</xdr:col>
      <xdr:colOff>495300</xdr:colOff>
      <xdr:row>1</xdr:row>
      <xdr:rowOff>142875</xdr:rowOff>
    </xdr:to>
    <xdr:sp macro="" textlink="">
      <xdr:nvSpPr>
        <xdr:cNvPr id="3" name="Text Box 1"/>
        <xdr:cNvSpPr txBox="1">
          <a:spLocks noChangeArrowheads="1"/>
        </xdr:cNvSpPr>
      </xdr:nvSpPr>
      <xdr:spPr bwMode="auto">
        <a:xfrm>
          <a:off x="8591550" y="114300"/>
          <a:ext cx="6572250" cy="15335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300"/>
            </a:lnSpc>
            <a:defRPr sz="1000"/>
          </a:pPr>
          <a:r>
            <a:rPr lang="en-AU" sz="1200" b="0" i="0" u="none" strike="noStrike" baseline="0">
              <a:solidFill>
                <a:srgbClr val="000000"/>
              </a:solidFill>
              <a:latin typeface="Arial"/>
              <a:cs typeface="Arial"/>
            </a:rPr>
            <a:t>The Data in this table was downloaded from The Robie, Hemingway &amp; Fisher (1979) Database Last modified July 02, 1996 maintained by the University of California (Berkeley) Web Site at http://www.science.ubc.ca/~geol323/thermo/thermo.htm</a:t>
          </a:r>
        </a:p>
        <a:p>
          <a:pPr algn="l" rtl="0">
            <a:defRPr sz="1000"/>
          </a:pPr>
          <a:r>
            <a:rPr lang="en-AU" sz="1200" b="0" i="0" u="none" strike="noStrike" baseline="0">
              <a:solidFill>
                <a:srgbClr val="000000"/>
              </a:solidFill>
              <a:latin typeface="Arial"/>
              <a:cs typeface="Arial"/>
            </a:rPr>
            <a:t>The database is maintained by Dr. T H Brown (tbrown@eos.ubc.ca) and from: Robie, Richard A., Hemingway, Bruce S., and Fisher, James R. Thermodynamic Properties of Minerals &amp; Related Substances at 298.15K and 1 Bar (105 Pascals) Pressure and at Higher Temperatures. U.S. Geological Survey Bulletin 1452. Washington: United States Government Printing Office, 1978.</a:t>
          </a:r>
        </a:p>
        <a:p>
          <a:pPr algn="l" rtl="0">
            <a:lnSpc>
              <a:spcPts val="1100"/>
            </a:lnSpc>
            <a:defRPr sz="1000"/>
          </a:pPr>
          <a:endParaRPr lang="en-AU" sz="1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25401</xdr:colOff>
      <xdr:row>16</xdr:row>
      <xdr:rowOff>25400</xdr:rowOff>
    </xdr:from>
    <xdr:to>
      <xdr:col>10</xdr:col>
      <xdr:colOff>26056</xdr:colOff>
      <xdr:row>18</xdr:row>
      <xdr:rowOff>99699</xdr:rowOff>
    </xdr:to>
    <xdr:sp macro="" textlink="">
      <xdr:nvSpPr>
        <xdr:cNvPr id="60" name="Line 14"/>
        <xdr:cNvSpPr>
          <a:spLocks noChangeShapeType="1"/>
        </xdr:cNvSpPr>
      </xdr:nvSpPr>
      <xdr:spPr bwMode="auto">
        <a:xfrm flipH="1">
          <a:off x="7835901" y="3276600"/>
          <a:ext cx="655" cy="455299"/>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o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clientData/>
  </xdr:twoCellAnchor>
  <xdr:twoCellAnchor editAs="oneCell">
    <xdr:from>
      <xdr:col>0</xdr:col>
      <xdr:colOff>28575</xdr:colOff>
      <xdr:row>0</xdr:row>
      <xdr:rowOff>28575</xdr:rowOff>
    </xdr:from>
    <xdr:to>
      <xdr:col>2</xdr:col>
      <xdr:colOff>457200</xdr:colOff>
      <xdr:row>2</xdr:row>
      <xdr:rowOff>180975</xdr:rowOff>
    </xdr:to>
    <xdr:pic>
      <xdr:nvPicPr>
        <xdr:cNvPr id="446210" name="Picture 2"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066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xdr:row>
      <xdr:rowOff>66675</xdr:rowOff>
    </xdr:from>
    <xdr:to>
      <xdr:col>2</xdr:col>
      <xdr:colOff>180975</xdr:colOff>
      <xdr:row>30</xdr:row>
      <xdr:rowOff>152400</xdr:rowOff>
    </xdr:to>
    <xdr:sp macro="" textlink="">
      <xdr:nvSpPr>
        <xdr:cNvPr id="12309" name="Text Box 21"/>
        <xdr:cNvSpPr txBox="1">
          <a:spLocks noChangeArrowheads="1"/>
        </xdr:cNvSpPr>
      </xdr:nvSpPr>
      <xdr:spPr bwMode="auto">
        <a:xfrm>
          <a:off x="28575" y="1031875"/>
          <a:ext cx="1803400" cy="5038725"/>
        </a:xfrm>
        <a:prstGeom prst="rect">
          <a:avLst/>
        </a:prstGeom>
        <a:solidFill>
          <a:srgbClr val="FFFFFF"/>
        </a:solidFill>
        <a:ln w="25400" cmpd="thinThick">
          <a:solidFill>
            <a:srgbClr val="000000"/>
          </a:solid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Gaia Engineering</a:t>
          </a: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Gaia Engineering is an industrial ecology that economically reverses many problems such as waste and emissions by adding value to them as a result of converting them into building products. It also produces fresher water and other valuable commodity minerals as by products.</a:t>
          </a:r>
        </a:p>
        <a:p>
          <a:pPr algn="l" rtl="0">
            <a:defRPr sz="1000"/>
          </a:pP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We have included a process diagram for Gaia Engineering so people can see the big picture as to how SynCarb Aggregates, TecEco cements and concretes made with them fit into an industrial ecology  that conversts carbon dioxide and other wastes into resources and produces  valuable products.</a:t>
          </a:r>
        </a:p>
      </xdr:txBody>
    </xdr:sp>
    <xdr:clientData/>
  </xdr:twoCellAnchor>
  <xdr:oneCellAnchor>
    <xdr:from>
      <xdr:col>6</xdr:col>
      <xdr:colOff>736600</xdr:colOff>
      <xdr:row>57</xdr:row>
      <xdr:rowOff>152400</xdr:rowOff>
    </xdr:from>
    <xdr:ext cx="2344103" cy="405432"/>
    <xdr:sp macro="" textlink="">
      <xdr:nvSpPr>
        <xdr:cNvPr id="2" name="TextBox 1"/>
        <xdr:cNvSpPr txBox="1"/>
      </xdr:nvSpPr>
      <xdr:spPr>
        <a:xfrm>
          <a:off x="5499100" y="11226800"/>
          <a:ext cx="234410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2000" b="1"/>
            <a:t>The Syncarb Process</a:t>
          </a:r>
        </a:p>
      </xdr:txBody>
    </xdr:sp>
    <xdr:clientData/>
  </xdr:oneCellAnchor>
  <xdr:twoCellAnchor editAs="oneCell">
    <xdr:from>
      <xdr:col>4</xdr:col>
      <xdr:colOff>274107</xdr:colOff>
      <xdr:row>3</xdr:row>
      <xdr:rowOff>0</xdr:rowOff>
    </xdr:from>
    <xdr:to>
      <xdr:col>5</xdr:col>
      <xdr:colOff>720194</xdr:colOff>
      <xdr:row>8</xdr:row>
      <xdr:rowOff>9525</xdr:rowOff>
    </xdr:to>
    <xdr:pic>
      <xdr:nvPicPr>
        <xdr:cNvPr id="73" name="Picture 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2607" y="673100"/>
          <a:ext cx="1208087" cy="10636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905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2</xdr:col>
      <xdr:colOff>558801</xdr:colOff>
      <xdr:row>3</xdr:row>
      <xdr:rowOff>152400</xdr:rowOff>
    </xdr:from>
    <xdr:to>
      <xdr:col>13</xdr:col>
      <xdr:colOff>525488</xdr:colOff>
      <xdr:row>32</xdr:row>
      <xdr:rowOff>142872</xdr:rowOff>
    </xdr:to>
    <xdr:grpSp>
      <xdr:nvGrpSpPr>
        <xdr:cNvPr id="75" name="Group 74"/>
        <xdr:cNvGrpSpPr>
          <a:grpSpLocks/>
        </xdr:cNvGrpSpPr>
      </xdr:nvGrpSpPr>
      <xdr:grpSpPr bwMode="auto">
        <a:xfrm>
          <a:off x="2209801" y="825500"/>
          <a:ext cx="8412187" cy="5616572"/>
          <a:chOff x="417511" y="819150"/>
          <a:chExt cx="8723893" cy="5927339"/>
        </a:xfrm>
      </xdr:grpSpPr>
      <xdr:sp macro="" textlink="">
        <xdr:nvSpPr>
          <xdr:cNvPr id="79" name="Line 10"/>
          <xdr:cNvSpPr>
            <a:spLocks noChangeShapeType="1"/>
          </xdr:cNvSpPr>
        </xdr:nvSpPr>
        <xdr:spPr bwMode="auto">
          <a:xfrm flipH="1">
            <a:off x="7917364" y="2754352"/>
            <a:ext cx="223026" cy="1159726"/>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80" name="Line 10"/>
          <xdr:cNvSpPr>
            <a:spLocks noChangeShapeType="1"/>
          </xdr:cNvSpPr>
        </xdr:nvSpPr>
        <xdr:spPr bwMode="auto">
          <a:xfrm flipH="1">
            <a:off x="7961970" y="3902928"/>
            <a:ext cx="390292" cy="334536"/>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27" name="Line 37"/>
          <xdr:cNvSpPr>
            <a:spLocks noChangeShapeType="1"/>
          </xdr:cNvSpPr>
        </xdr:nvSpPr>
        <xdr:spPr bwMode="auto">
          <a:xfrm flipH="1" flipV="1">
            <a:off x="4326671" y="2486719"/>
            <a:ext cx="401445" cy="669075"/>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28" name="Line 22"/>
          <xdr:cNvSpPr>
            <a:spLocks noChangeShapeType="1"/>
          </xdr:cNvSpPr>
        </xdr:nvSpPr>
        <xdr:spPr bwMode="auto">
          <a:xfrm flipH="1">
            <a:off x="1962614" y="3554796"/>
            <a:ext cx="567704" cy="783028"/>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29" name="Line 3"/>
          <xdr:cNvSpPr>
            <a:spLocks noChangeShapeType="1"/>
          </xdr:cNvSpPr>
        </xdr:nvSpPr>
        <xdr:spPr bwMode="auto">
          <a:xfrm flipH="1" flipV="1">
            <a:off x="7549376" y="1594624"/>
            <a:ext cx="501804" cy="379142"/>
          </a:xfrm>
          <a:prstGeom prst="line">
            <a:avLst/>
          </a:prstGeom>
          <a:noFill/>
          <a:ln w="3175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0" name="Line 4"/>
          <xdr:cNvSpPr>
            <a:spLocks noChangeShapeType="1"/>
          </xdr:cNvSpPr>
        </xdr:nvSpPr>
        <xdr:spPr bwMode="auto">
          <a:xfrm flipH="1">
            <a:off x="3166946" y="6233532"/>
            <a:ext cx="3579542" cy="2"/>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1" name="Line 6"/>
          <xdr:cNvSpPr>
            <a:spLocks noChangeShapeType="1"/>
          </xdr:cNvSpPr>
        </xdr:nvSpPr>
        <xdr:spPr bwMode="auto">
          <a:xfrm flipH="1">
            <a:off x="417511" y="6434254"/>
            <a:ext cx="898332" cy="1471"/>
          </a:xfrm>
          <a:prstGeom prst="line">
            <a:avLst/>
          </a:prstGeom>
          <a:noFill/>
          <a:ln w="6350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bIns="144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2" name="Line 7"/>
          <xdr:cNvSpPr>
            <a:spLocks noChangeShapeType="1"/>
          </xdr:cNvSpPr>
        </xdr:nvSpPr>
        <xdr:spPr bwMode="auto">
          <a:xfrm flipH="1">
            <a:off x="446088" y="819150"/>
            <a:ext cx="0" cy="5616575"/>
          </a:xfrm>
          <a:prstGeom prst="line">
            <a:avLst/>
          </a:prstGeom>
          <a:noFill/>
          <a:ln w="6350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bIns="144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3" name="Line 8"/>
          <xdr:cNvSpPr>
            <a:spLocks noChangeShapeType="1"/>
          </xdr:cNvSpPr>
        </xdr:nvSpPr>
        <xdr:spPr bwMode="auto">
          <a:xfrm>
            <a:off x="6057900" y="5961063"/>
            <a:ext cx="614363" cy="3175"/>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4" name="Line 9"/>
          <xdr:cNvSpPr>
            <a:spLocks noChangeShapeType="1"/>
          </xdr:cNvSpPr>
        </xdr:nvSpPr>
        <xdr:spPr bwMode="auto">
          <a:xfrm>
            <a:off x="7429190" y="4522788"/>
            <a:ext cx="1588" cy="495300"/>
          </a:xfrm>
          <a:prstGeom prst="line">
            <a:avLst/>
          </a:prstGeom>
          <a:noFill/>
          <a:ln w="1016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5" name="Line 10"/>
          <xdr:cNvSpPr>
            <a:spLocks noChangeShapeType="1"/>
          </xdr:cNvSpPr>
        </xdr:nvSpPr>
        <xdr:spPr bwMode="auto">
          <a:xfrm>
            <a:off x="6411951" y="4471639"/>
            <a:ext cx="363499" cy="551212"/>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6" name="Line 11"/>
          <xdr:cNvSpPr>
            <a:spLocks noChangeShapeType="1"/>
          </xdr:cNvSpPr>
        </xdr:nvSpPr>
        <xdr:spPr bwMode="auto">
          <a:xfrm flipH="1" flipV="1">
            <a:off x="4643438" y="1471613"/>
            <a:ext cx="1587" cy="492125"/>
          </a:xfrm>
          <a:prstGeom prst="line">
            <a:avLst/>
          </a:prstGeom>
          <a:noFill/>
          <a:ln w="381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7" name="Line 12"/>
          <xdr:cNvSpPr>
            <a:spLocks noChangeShapeType="1"/>
          </xdr:cNvSpPr>
        </xdr:nvSpPr>
        <xdr:spPr bwMode="auto">
          <a:xfrm flipV="1">
            <a:off x="5083175" y="1136650"/>
            <a:ext cx="566738" cy="3175"/>
          </a:xfrm>
          <a:prstGeom prst="line">
            <a:avLst/>
          </a:prstGeom>
          <a:noFill/>
          <a:ln w="381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bIns="144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8" name="Line 14"/>
          <xdr:cNvSpPr>
            <a:spLocks noChangeShapeType="1"/>
          </xdr:cNvSpPr>
        </xdr:nvSpPr>
        <xdr:spPr bwMode="auto">
          <a:xfrm flipH="1">
            <a:off x="5290626" y="4491489"/>
            <a:ext cx="210728" cy="308262"/>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39" name="Line 15"/>
          <xdr:cNvSpPr>
            <a:spLocks noChangeShapeType="1"/>
          </xdr:cNvSpPr>
        </xdr:nvSpPr>
        <xdr:spPr bwMode="auto">
          <a:xfrm flipV="1">
            <a:off x="446088" y="836341"/>
            <a:ext cx="3456839" cy="5034"/>
          </a:xfrm>
          <a:prstGeom prst="line">
            <a:avLst/>
          </a:prstGeom>
          <a:noFill/>
          <a:ln w="6350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0" name="Line 16"/>
          <xdr:cNvSpPr>
            <a:spLocks noChangeShapeType="1"/>
          </xdr:cNvSpPr>
        </xdr:nvSpPr>
        <xdr:spPr bwMode="auto">
          <a:xfrm>
            <a:off x="5196469" y="5241073"/>
            <a:ext cx="1483112" cy="89210"/>
          </a:xfrm>
          <a:prstGeom prst="line">
            <a:avLst/>
          </a:prstGeom>
          <a:noFill/>
          <a:ln w="1270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1" name="Line 17"/>
          <xdr:cNvSpPr>
            <a:spLocks noChangeShapeType="1"/>
          </xdr:cNvSpPr>
        </xdr:nvSpPr>
        <xdr:spPr bwMode="auto">
          <a:xfrm flipH="1">
            <a:off x="7225990" y="3423425"/>
            <a:ext cx="11155" cy="468352"/>
          </a:xfrm>
          <a:prstGeom prst="line">
            <a:avLst/>
          </a:prstGeom>
          <a:noFill/>
          <a:ln w="4445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2" name="Line 18"/>
          <xdr:cNvSpPr>
            <a:spLocks noChangeShapeType="1"/>
          </xdr:cNvSpPr>
        </xdr:nvSpPr>
        <xdr:spPr bwMode="auto">
          <a:xfrm>
            <a:off x="6255837" y="1984919"/>
            <a:ext cx="11150" cy="434898"/>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3" name="Line 19"/>
          <xdr:cNvSpPr>
            <a:spLocks noChangeShapeType="1"/>
          </xdr:cNvSpPr>
        </xdr:nvSpPr>
        <xdr:spPr bwMode="auto">
          <a:xfrm>
            <a:off x="4728117" y="3456879"/>
            <a:ext cx="15953" cy="1302524"/>
          </a:xfrm>
          <a:prstGeom prst="line">
            <a:avLst/>
          </a:prstGeom>
          <a:noFill/>
          <a:ln w="1270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4" name="Line 20"/>
          <xdr:cNvSpPr>
            <a:spLocks noChangeShapeType="1"/>
          </xdr:cNvSpPr>
        </xdr:nvSpPr>
        <xdr:spPr bwMode="auto">
          <a:xfrm>
            <a:off x="2524319" y="1899851"/>
            <a:ext cx="0" cy="1052512"/>
          </a:xfrm>
          <a:prstGeom prst="line">
            <a:avLst/>
          </a:prstGeom>
          <a:noFill/>
          <a:ln w="1016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5" name="Line 22"/>
          <xdr:cNvSpPr>
            <a:spLocks noChangeShapeType="1"/>
          </xdr:cNvSpPr>
        </xdr:nvSpPr>
        <xdr:spPr bwMode="auto">
          <a:xfrm>
            <a:off x="2667852" y="3469304"/>
            <a:ext cx="231465" cy="612042"/>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6" name="Line 25"/>
          <xdr:cNvSpPr>
            <a:spLocks noChangeShapeType="1"/>
          </xdr:cNvSpPr>
        </xdr:nvSpPr>
        <xdr:spPr bwMode="auto">
          <a:xfrm>
            <a:off x="3356518" y="3300761"/>
            <a:ext cx="847496" cy="0"/>
          </a:xfrm>
          <a:prstGeom prst="line">
            <a:avLst/>
          </a:prstGeom>
          <a:noFill/>
          <a:ln w="1270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7" name="Line 27"/>
          <xdr:cNvSpPr>
            <a:spLocks noChangeShapeType="1"/>
          </xdr:cNvSpPr>
        </xdr:nvSpPr>
        <xdr:spPr bwMode="auto">
          <a:xfrm flipH="1">
            <a:off x="3294063" y="1916113"/>
            <a:ext cx="911225" cy="7937"/>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48" name="AutoShape 28"/>
          <xdr:cNvSpPr>
            <a:spLocks noChangeArrowheads="1"/>
          </xdr:cNvSpPr>
        </xdr:nvSpPr>
        <xdr:spPr bwMode="auto">
          <a:xfrm>
            <a:off x="4226312" y="3078642"/>
            <a:ext cx="1525200" cy="408311"/>
          </a:xfrm>
          <a:prstGeom prst="flowChartAlternateProcess">
            <a:avLst/>
          </a:prstGeom>
          <a:solidFill>
            <a:srgbClr val="CC9900"/>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a:t>MgCO</a:t>
            </a:r>
            <a:r>
              <a:rPr lang="en-US" baseline="-25000"/>
              <a:t>3</a:t>
            </a:r>
            <a:r>
              <a:rPr lang="en-US"/>
              <a:t>.3H</a:t>
            </a:r>
            <a:r>
              <a:rPr lang="en-US" baseline="-25000"/>
              <a:t>2</a:t>
            </a:r>
            <a:r>
              <a:rPr lang="en-US"/>
              <a:t>O</a:t>
            </a:r>
          </a:p>
        </xdr:txBody>
      </xdr:sp>
      <xdr:sp macro="" textlink="">
        <xdr:nvSpPr>
          <xdr:cNvPr id="149" name="Rectangle 148"/>
          <xdr:cNvSpPr>
            <a:spLocks noChangeArrowheads="1"/>
          </xdr:cNvSpPr>
        </xdr:nvSpPr>
        <xdr:spPr bwMode="auto">
          <a:xfrm>
            <a:off x="2017987" y="2964183"/>
            <a:ext cx="1563688" cy="688256"/>
          </a:xfrm>
          <a:prstGeom prst="rect">
            <a:avLst/>
          </a:prstGeom>
          <a:solidFill>
            <a:srgbClr val="FFFF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2000"/>
              <a:t>N-Mg Process</a:t>
            </a:r>
          </a:p>
        </xdr:txBody>
      </xdr:sp>
      <xdr:sp macro="" textlink="">
        <xdr:nvSpPr>
          <xdr:cNvPr id="150" name="AutoShape 32"/>
          <xdr:cNvSpPr>
            <a:spLocks noChangeArrowheads="1"/>
          </xdr:cNvSpPr>
        </xdr:nvSpPr>
        <xdr:spPr bwMode="auto">
          <a:xfrm>
            <a:off x="2517773" y="4153246"/>
            <a:ext cx="1418605" cy="496811"/>
          </a:xfrm>
          <a:prstGeom prst="flowChartAlternateProcess">
            <a:avLst/>
          </a:prstGeom>
          <a:solidFill>
            <a:srgbClr val="FF9933"/>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2400" baseline="-25000"/>
              <a:t>NH4Cl or HCl</a:t>
            </a:r>
          </a:p>
        </xdr:txBody>
      </xdr:sp>
      <xdr:sp macro="" textlink="">
        <xdr:nvSpPr>
          <xdr:cNvPr id="151" name="AutoShape 33"/>
          <xdr:cNvSpPr>
            <a:spLocks noChangeArrowheads="1"/>
          </xdr:cNvSpPr>
        </xdr:nvSpPr>
        <xdr:spPr bwMode="auto">
          <a:xfrm>
            <a:off x="1425575" y="1758950"/>
            <a:ext cx="1847850" cy="355600"/>
          </a:xfrm>
          <a:prstGeom prst="flowChartAlternateProcess">
            <a:avLst/>
          </a:prstGeom>
          <a:solidFill>
            <a:srgbClr val="CCFFCC"/>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1600"/>
              <a:t>Industrial CO</a:t>
            </a:r>
            <a:r>
              <a:rPr lang="en-US" sz="1600" baseline="-25000"/>
              <a:t>2</a:t>
            </a:r>
          </a:p>
        </xdr:txBody>
      </xdr:sp>
      <xdr:sp macro="" textlink="">
        <xdr:nvSpPr>
          <xdr:cNvPr id="152" name="Line 35"/>
          <xdr:cNvSpPr>
            <a:spLocks noChangeShapeType="1"/>
          </xdr:cNvSpPr>
        </xdr:nvSpPr>
        <xdr:spPr bwMode="auto">
          <a:xfrm flipV="1">
            <a:off x="1418490" y="3311911"/>
            <a:ext cx="566427" cy="4413"/>
          </a:xfrm>
          <a:prstGeom prst="line">
            <a:avLst/>
          </a:prstGeom>
          <a:noFill/>
          <a:ln w="1270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53" name="AutoShape 36"/>
          <xdr:cNvSpPr>
            <a:spLocks noChangeArrowheads="1"/>
          </xdr:cNvSpPr>
        </xdr:nvSpPr>
        <xdr:spPr bwMode="auto">
          <a:xfrm>
            <a:off x="5751513" y="1753533"/>
            <a:ext cx="754062" cy="355600"/>
          </a:xfrm>
          <a:prstGeom prst="flowChartAlternateProcess">
            <a:avLst/>
          </a:prstGeom>
          <a:solidFill>
            <a:srgbClr val="CCFFCC"/>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1600"/>
              <a:t>MgO</a:t>
            </a:r>
            <a:endParaRPr lang="en-US" sz="1600" baseline="-25000"/>
          </a:p>
        </xdr:txBody>
      </xdr:sp>
      <xdr:sp macro="" textlink="">
        <xdr:nvSpPr>
          <xdr:cNvPr id="154" name="Line 37"/>
          <xdr:cNvSpPr>
            <a:spLocks noChangeShapeType="1"/>
          </xdr:cNvSpPr>
        </xdr:nvSpPr>
        <xdr:spPr bwMode="auto">
          <a:xfrm>
            <a:off x="4678363" y="1948796"/>
            <a:ext cx="1039812" cy="1587"/>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55" name="Rectangle 154"/>
          <xdr:cNvSpPr>
            <a:spLocks noChangeArrowheads="1"/>
          </xdr:cNvSpPr>
        </xdr:nvSpPr>
        <xdr:spPr bwMode="auto">
          <a:xfrm>
            <a:off x="3668713" y="1465263"/>
            <a:ext cx="1136650" cy="1006475"/>
          </a:xfrm>
          <a:prstGeom prst="rect">
            <a:avLst/>
          </a:prstGeom>
          <a:solidFill>
            <a:schemeClr val="bg1"/>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2000"/>
              <a:t>TecEco</a:t>
            </a:r>
            <a:br>
              <a:rPr lang="en-US" sz="2000"/>
            </a:br>
            <a:r>
              <a:rPr lang="en-US" sz="2000"/>
              <a:t>Tec-Kiln</a:t>
            </a:r>
          </a:p>
        </xdr:txBody>
      </xdr:sp>
      <xdr:sp macro="" textlink="">
        <xdr:nvSpPr>
          <xdr:cNvPr id="156" name="AutoShape 39"/>
          <xdr:cNvSpPr>
            <a:spLocks noChangeArrowheads="1"/>
          </xdr:cNvSpPr>
        </xdr:nvSpPr>
        <xdr:spPr bwMode="auto">
          <a:xfrm>
            <a:off x="5419492" y="3882207"/>
            <a:ext cx="1174209" cy="731735"/>
          </a:xfrm>
          <a:prstGeom prst="flowChartAlternateProcess">
            <a:avLst/>
          </a:prstGeom>
          <a:solidFill>
            <a:srgbClr val="EAEAEA"/>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a:t>Eco-Cements</a:t>
            </a:r>
            <a:endParaRPr lang="en-US" baseline="-25000"/>
          </a:p>
        </xdr:txBody>
      </xdr:sp>
      <xdr:pic>
        <xdr:nvPicPr>
          <xdr:cNvPr id="157" name="Picture 156"/>
          <xdr:cNvPicPr preferRelativeResize="0">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85000" y="5011699"/>
            <a:ext cx="2314033" cy="1534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8" name="AutoShape 41"/>
          <xdr:cNvSpPr>
            <a:spLocks noChangeArrowheads="1"/>
          </xdr:cNvSpPr>
        </xdr:nvSpPr>
        <xdr:spPr bwMode="auto">
          <a:xfrm>
            <a:off x="3657561" y="4787977"/>
            <a:ext cx="1668462" cy="884238"/>
          </a:xfrm>
          <a:prstGeom prst="flowChartAlternateProcess">
            <a:avLst/>
          </a:prstGeom>
          <a:solidFill>
            <a:srgbClr val="CC6600"/>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1600"/>
              <a:t>Building</a:t>
            </a:r>
            <a:br>
              <a:rPr lang="en-US" sz="1600"/>
            </a:br>
            <a:r>
              <a:rPr lang="en-US" sz="1600"/>
              <a:t>components &amp; aggregates</a:t>
            </a:r>
          </a:p>
        </xdr:txBody>
      </xdr:sp>
      <xdr:sp macro="" textlink="">
        <xdr:nvSpPr>
          <xdr:cNvPr id="159" name="Rectangle 158"/>
          <xdr:cNvSpPr>
            <a:spLocks noChangeArrowheads="1"/>
          </xdr:cNvSpPr>
        </xdr:nvSpPr>
        <xdr:spPr bwMode="auto">
          <a:xfrm>
            <a:off x="5974041" y="2466436"/>
            <a:ext cx="1653393" cy="1006475"/>
          </a:xfrm>
          <a:prstGeom prst="rect">
            <a:avLst/>
          </a:prstGeom>
          <a:solidFill>
            <a:srgbClr val="FFFF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2000"/>
              <a:t>TecEco</a:t>
            </a:r>
            <a:br>
              <a:rPr lang="en-US" sz="2000"/>
            </a:br>
            <a:r>
              <a:rPr lang="en-US" sz="2000"/>
              <a:t>Cement</a:t>
            </a:r>
            <a:br>
              <a:rPr lang="en-US" sz="2000"/>
            </a:br>
            <a:r>
              <a:rPr lang="en-US" sz="2000"/>
              <a:t>Manufacture</a:t>
            </a:r>
          </a:p>
        </xdr:txBody>
      </xdr:sp>
      <xdr:sp macro="" textlink="">
        <xdr:nvSpPr>
          <xdr:cNvPr id="160" name="AutoShape 43"/>
          <xdr:cNvSpPr>
            <a:spLocks noChangeArrowheads="1"/>
          </xdr:cNvSpPr>
        </xdr:nvSpPr>
        <xdr:spPr bwMode="auto">
          <a:xfrm>
            <a:off x="4535488" y="952500"/>
            <a:ext cx="704850" cy="355600"/>
          </a:xfrm>
          <a:prstGeom prst="flowChartAlternateProcess">
            <a:avLst/>
          </a:prstGeom>
          <a:solidFill>
            <a:srgbClr val="FF00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1600"/>
              <a:t>CaO</a:t>
            </a:r>
            <a:endParaRPr lang="en-US" sz="1600" baseline="-25000"/>
          </a:p>
        </xdr:txBody>
      </xdr:sp>
      <xdr:sp macro="" textlink="">
        <xdr:nvSpPr>
          <xdr:cNvPr id="161" name="AutoShape 44"/>
          <xdr:cNvSpPr>
            <a:spLocks noChangeArrowheads="1"/>
          </xdr:cNvSpPr>
        </xdr:nvSpPr>
        <xdr:spPr bwMode="auto">
          <a:xfrm>
            <a:off x="7935488" y="1883900"/>
            <a:ext cx="782638" cy="355600"/>
          </a:xfrm>
          <a:prstGeom prst="flowChartAlternateProcess">
            <a:avLst/>
          </a:prstGeom>
          <a:solidFill>
            <a:srgbClr val="CCCC00"/>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1600"/>
              <a:t>Clays</a:t>
            </a:r>
            <a:endParaRPr lang="en-US" sz="1600" baseline="-25000"/>
          </a:p>
        </xdr:txBody>
      </xdr:sp>
      <xdr:sp macro="" textlink="">
        <xdr:nvSpPr>
          <xdr:cNvPr id="162" name="Line 45"/>
          <xdr:cNvSpPr>
            <a:spLocks noChangeShapeType="1"/>
          </xdr:cNvSpPr>
        </xdr:nvSpPr>
        <xdr:spPr bwMode="auto">
          <a:xfrm>
            <a:off x="6813395" y="1483112"/>
            <a:ext cx="11150" cy="914400"/>
          </a:xfrm>
          <a:prstGeom prst="line">
            <a:avLst/>
          </a:prstGeom>
          <a:noFill/>
          <a:ln w="34925">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bIns="144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63" name="Rectangle 162"/>
          <xdr:cNvSpPr>
            <a:spLocks noChangeArrowheads="1"/>
          </xdr:cNvSpPr>
        </xdr:nvSpPr>
        <xdr:spPr bwMode="auto">
          <a:xfrm>
            <a:off x="5680075" y="844550"/>
            <a:ext cx="2400300" cy="701675"/>
          </a:xfrm>
          <a:prstGeom prst="rect">
            <a:avLst/>
          </a:prstGeom>
          <a:solidFill>
            <a:srgbClr val="FFFF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2000"/>
              <a:t>Portland Cement</a:t>
            </a:r>
            <a:br>
              <a:rPr lang="en-US" sz="2000"/>
            </a:br>
            <a:r>
              <a:rPr lang="en-US" sz="2000"/>
              <a:t>Manufacture</a:t>
            </a:r>
          </a:p>
        </xdr:txBody>
      </xdr:sp>
      <xdr:sp macro="" textlink="">
        <xdr:nvSpPr>
          <xdr:cNvPr id="164" name="AutoShape 48"/>
          <xdr:cNvSpPr>
            <a:spLocks noChangeArrowheads="1"/>
          </xdr:cNvSpPr>
        </xdr:nvSpPr>
        <xdr:spPr bwMode="auto">
          <a:xfrm>
            <a:off x="530225" y="2182615"/>
            <a:ext cx="941735" cy="2608463"/>
          </a:xfrm>
          <a:prstGeom prst="flowChartAlternateProcess">
            <a:avLst/>
          </a:prstGeom>
          <a:solidFill>
            <a:srgbClr val="99CC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1600"/>
              <a:t>Brine, Sea</a:t>
            </a:r>
            <a:br>
              <a:rPr lang="en-US" sz="1600"/>
            </a:br>
            <a:r>
              <a:rPr lang="en-US" sz="1600"/>
              <a:t>water, Oil Process water, De Sal Waste Water etc .</a:t>
            </a:r>
          </a:p>
        </xdr:txBody>
      </xdr:sp>
      <xdr:sp macro="" textlink="">
        <xdr:nvSpPr>
          <xdr:cNvPr id="165" name="AutoShape 49"/>
          <xdr:cNvSpPr>
            <a:spLocks noChangeArrowheads="1"/>
          </xdr:cNvSpPr>
        </xdr:nvSpPr>
        <xdr:spPr bwMode="auto">
          <a:xfrm>
            <a:off x="6764686" y="3904563"/>
            <a:ext cx="1177925" cy="693371"/>
          </a:xfrm>
          <a:prstGeom prst="flowChartAlternateProcess">
            <a:avLst/>
          </a:prstGeom>
          <a:solidFill>
            <a:srgbClr val="B2B2B2"/>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a:t>Tec-Cements</a:t>
            </a:r>
            <a:endParaRPr lang="en-US" baseline="-25000"/>
          </a:p>
        </xdr:txBody>
      </xdr:sp>
      <xdr:sp macro="" textlink="">
        <xdr:nvSpPr>
          <xdr:cNvPr id="166" name="AutoShape 51"/>
          <xdr:cNvSpPr>
            <a:spLocks noChangeArrowheads="1"/>
          </xdr:cNvSpPr>
        </xdr:nvSpPr>
        <xdr:spPr bwMode="auto">
          <a:xfrm>
            <a:off x="4672361" y="5795749"/>
            <a:ext cx="1449659" cy="352853"/>
          </a:xfrm>
          <a:prstGeom prst="flowChartAlternateProcess">
            <a:avLst/>
          </a:prstGeom>
          <a:solidFill>
            <a:srgbClr val="FF99CC"/>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1600"/>
              <a:t>Other wastes</a:t>
            </a:r>
          </a:p>
        </xdr:txBody>
      </xdr:sp>
      <xdr:sp macro="" textlink="">
        <xdr:nvSpPr>
          <xdr:cNvPr id="167" name="AutoShape 54"/>
          <xdr:cNvSpPr>
            <a:spLocks noChangeArrowheads="1"/>
          </xdr:cNvSpPr>
        </xdr:nvSpPr>
        <xdr:spPr bwMode="auto">
          <a:xfrm>
            <a:off x="1553003" y="4378390"/>
            <a:ext cx="799906" cy="625268"/>
          </a:xfrm>
          <a:prstGeom prst="flowChartAlternateProcess">
            <a:avLst/>
          </a:prstGeom>
          <a:solidFill>
            <a:srgbClr val="CCFFFF"/>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r>
              <a:rPr lang="en-US" sz="1600"/>
              <a:t>Fresh</a:t>
            </a:r>
            <a:br>
              <a:rPr lang="en-US" sz="1600"/>
            </a:br>
            <a:r>
              <a:rPr lang="en-US" sz="1600"/>
              <a:t>Water</a:t>
            </a:r>
            <a:endParaRPr lang="en-US" sz="1600" baseline="-25000"/>
          </a:p>
        </xdr:txBody>
      </xdr:sp>
      <xdr:sp macro="" textlink="">
        <xdr:nvSpPr>
          <xdr:cNvPr id="168" name="Line 55"/>
          <xdr:cNvSpPr>
            <a:spLocks noChangeShapeType="1"/>
          </xdr:cNvSpPr>
        </xdr:nvSpPr>
        <xdr:spPr bwMode="auto">
          <a:xfrm flipH="1">
            <a:off x="3871874" y="857212"/>
            <a:ext cx="0" cy="573087"/>
          </a:xfrm>
          <a:prstGeom prst="line">
            <a:avLst/>
          </a:prstGeom>
          <a:noFill/>
          <a:ln w="635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sp macro="" textlink="">
        <xdr:nvSpPr>
          <xdr:cNvPr id="169" name="Line 4"/>
          <xdr:cNvSpPr>
            <a:spLocks noChangeShapeType="1"/>
          </xdr:cNvSpPr>
        </xdr:nvSpPr>
        <xdr:spPr bwMode="auto">
          <a:xfrm flipV="1">
            <a:off x="3077737" y="6400801"/>
            <a:ext cx="3601844" cy="1"/>
          </a:xfrm>
          <a:prstGeom prst="line">
            <a:avLst/>
          </a:prstGeom>
          <a:noFill/>
          <a:ln w="4445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endParaRPr lang="en-AU"/>
          </a:p>
        </xdr:txBody>
      </xdr:sp>
      <xdr:pic>
        <xdr:nvPicPr>
          <xdr:cNvPr id="170" name="Picture 169" descr="j021519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6212" y="5174165"/>
            <a:ext cx="1972598" cy="1572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pic>
      <xdr:sp macro="" textlink="">
        <xdr:nvSpPr>
          <xdr:cNvPr id="171" name="AutoShape 44"/>
          <xdr:cNvSpPr>
            <a:spLocks noChangeArrowheads="1"/>
          </xdr:cNvSpPr>
        </xdr:nvSpPr>
        <xdr:spPr bwMode="auto">
          <a:xfrm>
            <a:off x="8087887" y="2439117"/>
            <a:ext cx="782638" cy="352853"/>
          </a:xfrm>
          <a:prstGeom prst="flowChartAlternateProcess">
            <a:avLst/>
          </a:prstGeom>
          <a:solidFill>
            <a:srgbClr val="CCCC00"/>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spAutoFit/>
          </a:bodyP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1600"/>
              <a:t>GBFS</a:t>
            </a:r>
            <a:endParaRPr lang="en-US" sz="1600" baseline="-25000"/>
          </a:p>
        </xdr:txBody>
      </xdr:sp>
      <xdr:sp macro="" textlink="">
        <xdr:nvSpPr>
          <xdr:cNvPr id="172" name="AutoShape 44"/>
          <xdr:cNvSpPr>
            <a:spLocks noChangeArrowheads="1"/>
          </xdr:cNvSpPr>
        </xdr:nvSpPr>
        <xdr:spPr bwMode="auto">
          <a:xfrm>
            <a:off x="8227548" y="3650882"/>
            <a:ext cx="913856" cy="352853"/>
          </a:xfrm>
          <a:prstGeom prst="flowChartAlternateProcess">
            <a:avLst/>
          </a:prstGeom>
          <a:solidFill>
            <a:srgbClr val="CCCC00"/>
          </a:solidFill>
          <a:ln w="19050"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36000" bIns="36000" anchor="ctr"/>
          <a:lstStyle>
            <a:defPPr>
              <a:defRPr lang="en-US"/>
            </a:defPPr>
            <a:lvl1pPr algn="l" rtl="0" fontAlgn="base">
              <a:spcBef>
                <a:spcPct val="0"/>
              </a:spcBef>
              <a:spcAft>
                <a:spcPct val="0"/>
              </a:spcAft>
              <a:defRPr kern="1200">
                <a:solidFill>
                  <a:schemeClr val="tx1"/>
                </a:solidFill>
                <a:latin typeface="Calibri" pitchFamily="34" charset="0"/>
                <a:ea typeface="+mn-ea"/>
                <a:cs typeface="Arial" pitchFamily="34" charset="0"/>
              </a:defRPr>
            </a:lvl1pPr>
            <a:lvl2pPr marL="457200" algn="l" rtl="0" fontAlgn="base">
              <a:spcBef>
                <a:spcPct val="0"/>
              </a:spcBef>
              <a:spcAft>
                <a:spcPct val="0"/>
              </a:spcAft>
              <a:defRPr kern="1200">
                <a:solidFill>
                  <a:schemeClr val="tx1"/>
                </a:solidFill>
                <a:latin typeface="Calibri" pitchFamily="34" charset="0"/>
                <a:ea typeface="+mn-ea"/>
                <a:cs typeface="Arial" pitchFamily="34" charset="0"/>
              </a:defRPr>
            </a:lvl2pPr>
            <a:lvl3pPr marL="914400" algn="l" rtl="0" fontAlgn="base">
              <a:spcBef>
                <a:spcPct val="0"/>
              </a:spcBef>
              <a:spcAft>
                <a:spcPct val="0"/>
              </a:spcAft>
              <a:defRPr kern="1200">
                <a:solidFill>
                  <a:schemeClr val="tx1"/>
                </a:solidFill>
                <a:latin typeface="Calibri" pitchFamily="34" charset="0"/>
                <a:ea typeface="+mn-ea"/>
                <a:cs typeface="Arial" pitchFamily="34" charset="0"/>
              </a:defRPr>
            </a:lvl3pPr>
            <a:lvl4pPr marL="1371600" algn="l" rtl="0" fontAlgn="base">
              <a:spcBef>
                <a:spcPct val="0"/>
              </a:spcBef>
              <a:spcAft>
                <a:spcPct val="0"/>
              </a:spcAft>
              <a:defRPr kern="1200">
                <a:solidFill>
                  <a:schemeClr val="tx1"/>
                </a:solidFill>
                <a:latin typeface="Calibri" pitchFamily="34" charset="0"/>
                <a:ea typeface="+mn-ea"/>
                <a:cs typeface="Arial" pitchFamily="34" charset="0"/>
              </a:defRPr>
            </a:lvl4pPr>
            <a:lvl5pPr marL="1828800" algn="l" rtl="0" fontAlgn="base">
              <a:spcBef>
                <a:spcPct val="0"/>
              </a:spcBef>
              <a:spcAft>
                <a:spcPct val="0"/>
              </a:spcAft>
              <a:defRPr kern="1200">
                <a:solidFill>
                  <a:schemeClr val="tx1"/>
                </a:solidFill>
                <a:latin typeface="Calibri" pitchFamily="34" charset="0"/>
                <a:ea typeface="+mn-ea"/>
                <a:cs typeface="Arial" pitchFamily="34" charset="0"/>
              </a:defRPr>
            </a:lvl5pPr>
            <a:lvl6pPr marL="2286000" algn="l" defTabSz="914400" rtl="0" eaLnBrk="1" latinLnBrk="0" hangingPunct="1">
              <a:defRPr kern="1200">
                <a:solidFill>
                  <a:schemeClr val="tx1"/>
                </a:solidFill>
                <a:latin typeface="Calibri" pitchFamily="34" charset="0"/>
                <a:ea typeface="+mn-ea"/>
                <a:cs typeface="Arial" pitchFamily="34" charset="0"/>
              </a:defRPr>
            </a:lvl6pPr>
            <a:lvl7pPr marL="2743200" algn="l" defTabSz="914400" rtl="0" eaLnBrk="1" latinLnBrk="0" hangingPunct="1">
              <a:defRPr kern="1200">
                <a:solidFill>
                  <a:schemeClr val="tx1"/>
                </a:solidFill>
                <a:latin typeface="Calibri" pitchFamily="34" charset="0"/>
                <a:ea typeface="+mn-ea"/>
                <a:cs typeface="Arial" pitchFamily="34" charset="0"/>
              </a:defRPr>
            </a:lvl7pPr>
            <a:lvl8pPr marL="3200400" algn="l" defTabSz="914400" rtl="0" eaLnBrk="1" latinLnBrk="0" hangingPunct="1">
              <a:defRPr kern="1200">
                <a:solidFill>
                  <a:schemeClr val="tx1"/>
                </a:solidFill>
                <a:latin typeface="Calibri" pitchFamily="34" charset="0"/>
                <a:ea typeface="+mn-ea"/>
                <a:cs typeface="Arial" pitchFamily="34" charset="0"/>
              </a:defRPr>
            </a:lvl8pPr>
            <a:lvl9pPr marL="3657600" algn="l" defTabSz="914400" rtl="0" eaLnBrk="1" latinLnBrk="0" hangingPunct="1">
              <a:defRPr kern="1200">
                <a:solidFill>
                  <a:schemeClr val="tx1"/>
                </a:solidFill>
                <a:latin typeface="Calibri" pitchFamily="34" charset="0"/>
                <a:ea typeface="+mn-ea"/>
                <a:cs typeface="Arial" pitchFamily="34" charset="0"/>
              </a:defRPr>
            </a:lvl9pPr>
          </a:lstStyle>
          <a:p>
            <a:pPr algn="ctr"/>
            <a:r>
              <a:rPr lang="en-US" sz="1600"/>
              <a:t>Fly ash</a:t>
            </a:r>
            <a:endParaRPr lang="en-US" sz="1600" baseline="-25000"/>
          </a:p>
        </xdr:txBody>
      </xdr:sp>
    </xdr:grpSp>
    <xdr:clientData/>
  </xdr:twoCellAnchor>
  <xdr:twoCellAnchor editAs="oneCell">
    <xdr:from>
      <xdr:col>2</xdr:col>
      <xdr:colOff>419100</xdr:colOff>
      <xdr:row>35</xdr:row>
      <xdr:rowOff>152400</xdr:rowOff>
    </xdr:from>
    <xdr:to>
      <xdr:col>15</xdr:col>
      <xdr:colOff>508000</xdr:colOff>
      <xdr:row>57</xdr:row>
      <xdr:rowOff>11505</xdr:rowOff>
    </xdr:to>
    <xdr:pic>
      <xdr:nvPicPr>
        <xdr:cNvPr id="3" name="Picture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70100" y="7023100"/>
          <a:ext cx="10058400" cy="4050105"/>
        </a:xfrm>
        <a:prstGeom prst="rect">
          <a:avLst/>
        </a:prstGeom>
      </xdr:spPr>
    </xdr:pic>
    <xdr:clientData/>
  </xdr:twoCellAnchor>
  <xdr:oneCellAnchor>
    <xdr:from>
      <xdr:col>6</xdr:col>
      <xdr:colOff>139700</xdr:colOff>
      <xdr:row>32</xdr:row>
      <xdr:rowOff>50800</xdr:rowOff>
    </xdr:from>
    <xdr:ext cx="5184304" cy="405432"/>
    <xdr:sp macro="" textlink="">
      <xdr:nvSpPr>
        <xdr:cNvPr id="57" name="TextBox 56"/>
        <xdr:cNvSpPr txBox="1"/>
      </xdr:nvSpPr>
      <xdr:spPr>
        <a:xfrm>
          <a:off x="4902200" y="6350000"/>
          <a:ext cx="5184304"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2000" b="1"/>
            <a:t>Gaia</a:t>
          </a:r>
          <a:r>
            <a:rPr lang="en-AU" sz="2000" b="1" baseline="0"/>
            <a:t> Engineering including the Syncarb Process</a:t>
          </a:r>
          <a:endParaRPr lang="en-AU" sz="20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1447800</xdr:colOff>
      <xdr:row>2</xdr:row>
      <xdr:rowOff>114300</xdr:rowOff>
    </xdr:to>
    <xdr:pic>
      <xdr:nvPicPr>
        <xdr:cNvPr id="2" name="Picture 3"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660525"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2524551</xdr:colOff>
      <xdr:row>3</xdr:row>
      <xdr:rowOff>184638</xdr:rowOff>
    </xdr:to>
    <xdr:pic>
      <xdr:nvPicPr>
        <xdr:cNvPr id="446717" name="Picture 3"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30480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666750</xdr:colOff>
      <xdr:row>31</xdr:row>
      <xdr:rowOff>200025</xdr:rowOff>
    </xdr:from>
    <xdr:to>
      <xdr:col>60</xdr:col>
      <xdr:colOff>19050</xdr:colOff>
      <xdr:row>35</xdr:row>
      <xdr:rowOff>9525</xdr:rowOff>
    </xdr:to>
    <xdr:sp macro="" textlink="">
      <xdr:nvSpPr>
        <xdr:cNvPr id="14501" name="Text Box 165"/>
        <xdr:cNvSpPr txBox="1">
          <a:spLocks noChangeArrowheads="1"/>
        </xdr:cNvSpPr>
      </xdr:nvSpPr>
      <xdr:spPr bwMode="auto">
        <a:xfrm>
          <a:off x="18716625" y="2962275"/>
          <a:ext cx="2733675" cy="857250"/>
        </a:xfrm>
        <a:prstGeom prst="rect">
          <a:avLst/>
        </a:prstGeom>
        <a:solidFill>
          <a:srgbClr val="FFFFFF"/>
        </a:solidFill>
        <a:ln w="12700">
          <a:solidFill>
            <a:srgbClr val="000000"/>
          </a:solidFill>
          <a:miter lim="800000"/>
          <a:headEnd/>
          <a:tailEnd/>
        </a:ln>
      </xdr:spPr>
      <xdr:txBody>
        <a:bodyPr vertOverflow="clip" wrap="square" lIns="72000" tIns="32004" rIns="0" bIns="0" anchor="ctr" anchorCtr="0" upright="1"/>
        <a:lstStyle/>
        <a:p>
          <a:pPr algn="l" rtl="0">
            <a:lnSpc>
              <a:spcPct val="100000"/>
            </a:lnSpc>
            <a:defRPr sz="1000"/>
          </a:pPr>
          <a:r>
            <a:rPr lang="en-AU" sz="1400" b="0" i="0" u="none" strike="noStrike" baseline="0">
              <a:solidFill>
                <a:srgbClr val="000000"/>
              </a:solidFill>
              <a:latin typeface="Arial"/>
              <a:cs typeface="Arial"/>
            </a:rPr>
            <a:t>Only change yellow areas</a:t>
          </a:r>
        </a:p>
        <a:p>
          <a:pPr algn="l" rtl="0">
            <a:lnSpc>
              <a:spcPct val="100000"/>
            </a:lnSpc>
            <a:defRPr sz="1000"/>
          </a:pPr>
          <a:r>
            <a:rPr lang="en-AU" sz="1400" b="0" i="0" u="none" strike="noStrike" baseline="0">
              <a:solidFill>
                <a:srgbClr val="000000"/>
              </a:solidFill>
              <a:latin typeface="Arial"/>
              <a:cs typeface="Arial"/>
            </a:rPr>
            <a:t>Start by filling in the blend above.</a:t>
          </a:r>
        </a:p>
      </xdr:txBody>
    </xdr:sp>
    <xdr:clientData/>
  </xdr:twoCellAnchor>
  <xdr:twoCellAnchor>
    <xdr:from>
      <xdr:col>56</xdr:col>
      <xdr:colOff>674076</xdr:colOff>
      <xdr:row>30</xdr:row>
      <xdr:rowOff>43962</xdr:rowOff>
    </xdr:from>
    <xdr:to>
      <xdr:col>56</xdr:col>
      <xdr:colOff>681400</xdr:colOff>
      <xdr:row>31</xdr:row>
      <xdr:rowOff>205152</xdr:rowOff>
    </xdr:to>
    <xdr:sp macro="" textlink="">
      <xdr:nvSpPr>
        <xdr:cNvPr id="446720" name="Line 166"/>
        <xdr:cNvSpPr>
          <a:spLocks noChangeShapeType="1"/>
        </xdr:cNvSpPr>
      </xdr:nvSpPr>
      <xdr:spPr bwMode="auto">
        <a:xfrm flipH="1" flipV="1">
          <a:off x="55860461" y="7649308"/>
          <a:ext cx="7324" cy="366344"/>
        </a:xfrm>
        <a:prstGeom prst="line">
          <a:avLst/>
        </a:prstGeom>
        <a:noFill/>
        <a:ln w="317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526806</xdr:colOff>
      <xdr:row>32</xdr:row>
      <xdr:rowOff>0</xdr:rowOff>
    </xdr:from>
    <xdr:to>
      <xdr:col>53</xdr:col>
      <xdr:colOff>155331</xdr:colOff>
      <xdr:row>35</xdr:row>
      <xdr:rowOff>215412</xdr:rowOff>
    </xdr:to>
    <xdr:sp macro="" textlink="">
      <xdr:nvSpPr>
        <xdr:cNvPr id="14503" name="Text Box 167"/>
        <xdr:cNvSpPr txBox="1">
          <a:spLocks noChangeArrowheads="1"/>
        </xdr:cNvSpPr>
      </xdr:nvSpPr>
      <xdr:spPr bwMode="auto">
        <a:xfrm>
          <a:off x="45763229" y="5729654"/>
          <a:ext cx="5343525" cy="845527"/>
        </a:xfrm>
        <a:prstGeom prst="rect">
          <a:avLst/>
        </a:prstGeom>
        <a:solidFill>
          <a:srgbClr val="FFFFFF"/>
        </a:solidFill>
        <a:ln w="12700">
          <a:solidFill>
            <a:srgbClr val="000000"/>
          </a:solidFill>
          <a:miter lim="800000"/>
          <a:headEnd/>
          <a:tailEnd/>
        </a:ln>
      </xdr:spPr>
      <xdr:txBody>
        <a:bodyPr vertOverflow="clip" wrap="square" lIns="72000" tIns="32004" rIns="0" bIns="0" anchor="ctr" anchorCtr="0" upright="1"/>
        <a:lstStyle/>
        <a:p>
          <a:pPr algn="l" rtl="0">
            <a:defRPr sz="1000"/>
          </a:pPr>
          <a:r>
            <a:rPr lang="en-AU" sz="1600" b="0" i="0" u="none" strike="noStrike" baseline="0">
              <a:solidFill>
                <a:srgbClr val="000000"/>
              </a:solidFill>
              <a:latin typeface="Arial"/>
              <a:cs typeface="Arial"/>
            </a:rPr>
            <a:t>Don't change the yellow data to the left unless you have to</a:t>
          </a:r>
        </a:p>
      </xdr:txBody>
    </xdr:sp>
    <xdr:clientData/>
  </xdr:twoCellAnchor>
  <xdr:twoCellAnchor>
    <xdr:from>
      <xdr:col>47</xdr:col>
      <xdr:colOff>27214</xdr:colOff>
      <xdr:row>31</xdr:row>
      <xdr:rowOff>0</xdr:rowOff>
    </xdr:from>
    <xdr:to>
      <xdr:col>47</xdr:col>
      <xdr:colOff>504825</xdr:colOff>
      <xdr:row>37</xdr:row>
      <xdr:rowOff>8619</xdr:rowOff>
    </xdr:to>
    <xdr:sp macro="" textlink="">
      <xdr:nvSpPr>
        <xdr:cNvPr id="2" name="Right Brace 1"/>
        <xdr:cNvSpPr/>
      </xdr:nvSpPr>
      <xdr:spPr>
        <a:xfrm>
          <a:off x="32793214" y="4191000"/>
          <a:ext cx="477611" cy="1559833"/>
        </a:xfrm>
        <a:prstGeom prst="rightBrace">
          <a:avLst>
            <a:gd name="adj1" fmla="val 0"/>
            <a:gd name="adj2" fmla="val 5000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228600</xdr:colOff>
      <xdr:row>4</xdr:row>
      <xdr:rowOff>38100</xdr:rowOff>
    </xdr:to>
    <xdr:pic>
      <xdr:nvPicPr>
        <xdr:cNvPr id="452817" name="Picture 3"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30480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1704975</xdr:colOff>
      <xdr:row>3</xdr:row>
      <xdr:rowOff>123825</xdr:rowOff>
    </xdr:to>
    <xdr:pic>
      <xdr:nvPicPr>
        <xdr:cNvPr id="453841" name="Picture 8"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457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12</xdr:row>
      <xdr:rowOff>0</xdr:rowOff>
    </xdr:from>
    <xdr:to>
      <xdr:col>11</xdr:col>
      <xdr:colOff>1047750</xdr:colOff>
      <xdr:row>13</xdr:row>
      <xdr:rowOff>1390650</xdr:rowOff>
    </xdr:to>
    <xdr:sp macro="" textlink="">
      <xdr:nvSpPr>
        <xdr:cNvPr id="27649" name="Text Box 1"/>
        <xdr:cNvSpPr txBox="1">
          <a:spLocks noChangeArrowheads="1"/>
        </xdr:cNvSpPr>
      </xdr:nvSpPr>
      <xdr:spPr bwMode="auto">
        <a:xfrm>
          <a:off x="10458450" y="3562350"/>
          <a:ext cx="5543550" cy="15716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The Data in this table was downloaded from The Robie, Hemingway &amp; Fisher (1979) Database Last modified July 02, 1996 maintained by the University of California (Berkeley) Web Site at http://www.science.ubc.ca/~geol323/thermo/thermo.htm</a:t>
          </a:r>
        </a:p>
        <a:p>
          <a:pPr algn="l" rtl="0">
            <a:defRPr sz="1000"/>
          </a:pPr>
          <a:r>
            <a:rPr lang="en-AU" sz="1200" b="0" i="0" u="none" strike="noStrike" baseline="0">
              <a:solidFill>
                <a:srgbClr val="000000"/>
              </a:solidFill>
              <a:latin typeface="Arial"/>
              <a:cs typeface="Arial"/>
            </a:rPr>
            <a:t>The database is maintained by Dr. T H Brown (tbrown@eos.ubc.ca) and from: Robie, Richard A., Hemingway, Bruce S., and Fisher, James R. Thermodynamic Properties of Minerals &amp; Related Substances at 298.15K and 1 Bar (105 Pascals) Pressure and at Higher Temperatures. U.S. Geological Survey Bulletin 1452. Washington: United States Government Printing Office, 1978.</a:t>
          </a:r>
        </a:p>
        <a:p>
          <a:pPr algn="l" rtl="0">
            <a:defRPr sz="1000"/>
          </a:pPr>
          <a:endParaRPr lang="en-AU" sz="12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28575</xdr:rowOff>
    </xdr:from>
    <xdr:to>
      <xdr:col>1</xdr:col>
      <xdr:colOff>2247900</xdr:colOff>
      <xdr:row>3</xdr:row>
      <xdr:rowOff>123825</xdr:rowOff>
    </xdr:to>
    <xdr:pic>
      <xdr:nvPicPr>
        <xdr:cNvPr id="454888" name="Picture 2"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457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xdr:colOff>
      <xdr:row>13</xdr:row>
      <xdr:rowOff>1400175</xdr:rowOff>
    </xdr:from>
    <xdr:to>
      <xdr:col>11</xdr:col>
      <xdr:colOff>1047750</xdr:colOff>
      <xdr:row>20</xdr:row>
      <xdr:rowOff>47625</xdr:rowOff>
    </xdr:to>
    <xdr:sp macro="" textlink="">
      <xdr:nvSpPr>
        <xdr:cNvPr id="27669" name="Text Box 21"/>
        <xdr:cNvSpPr txBox="1">
          <a:spLocks noChangeArrowheads="1"/>
        </xdr:cNvSpPr>
      </xdr:nvSpPr>
      <xdr:spPr bwMode="auto">
        <a:xfrm>
          <a:off x="10467975" y="5143500"/>
          <a:ext cx="5534025" cy="14859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Volume Changes</a:t>
          </a: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The volume changes that occur when magnesia hydrates to Brucite and then carbonates to nesquehonite are significant:</a:t>
          </a:r>
        </a:p>
        <a:p>
          <a:pPr algn="l" rtl="0">
            <a:defRPr sz="1000"/>
          </a:pPr>
          <a:r>
            <a:rPr lang="en-AU" sz="1200" b="0" i="0" u="none" strike="noStrike" baseline="0">
              <a:solidFill>
                <a:srgbClr val="000000"/>
              </a:solidFill>
              <a:latin typeface="Arial"/>
              <a:cs typeface="Arial"/>
            </a:rPr>
            <a:t>MgO + H</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O → Mg(OH)</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 + CO</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 + 2H</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O → MgCO</a:t>
          </a:r>
          <a:r>
            <a:rPr lang="en-AU" sz="1200" b="0" i="0" u="none" strike="noStrike" baseline="-25000">
              <a:solidFill>
                <a:srgbClr val="000000"/>
              </a:solidFill>
              <a:latin typeface="Arial"/>
              <a:cs typeface="Arial"/>
            </a:rPr>
            <a:t>3</a:t>
          </a:r>
          <a:r>
            <a:rPr lang="en-AU" sz="1200" b="0" i="0" u="none" strike="noStrike" baseline="0">
              <a:solidFill>
                <a:srgbClr val="000000"/>
              </a:solidFill>
              <a:latin typeface="Arial"/>
              <a:cs typeface="Arial"/>
            </a:rPr>
            <a:t>.3H</a:t>
          </a:r>
          <a:r>
            <a:rPr lang="en-AU" sz="1200" b="0" i="0" u="none" strike="noStrike" baseline="-25000">
              <a:solidFill>
                <a:srgbClr val="000000"/>
              </a:solidFill>
              <a:latin typeface="Arial"/>
              <a:cs typeface="Arial"/>
            </a:rPr>
            <a:t>2</a:t>
          </a:r>
          <a:r>
            <a:rPr lang="en-AU" sz="1200" b="0" i="0" u="none" strike="noStrike" baseline="0">
              <a:solidFill>
                <a:srgbClr val="000000"/>
              </a:solidFill>
              <a:latin typeface="Arial"/>
              <a:cs typeface="Arial"/>
            </a:rPr>
            <a:t>O</a:t>
          </a:r>
        </a:p>
        <a:p>
          <a:pPr algn="l" rtl="0">
            <a:defRPr sz="1000"/>
          </a:pPr>
          <a:r>
            <a:rPr lang="en-AU" sz="1200" b="0" i="0" u="none" strike="noStrike" baseline="0">
              <a:solidFill>
                <a:srgbClr val="000000"/>
              </a:solidFill>
              <a:latin typeface="Arial"/>
              <a:cs typeface="Arial"/>
            </a:rPr>
            <a:t>40.31 + (l) → 58.31 + (g) + (l)  → 138.37 molar masses (gm mol wgt).</a:t>
          </a:r>
        </a:p>
        <a:p>
          <a:pPr algn="l" rtl="0">
            <a:defRPr sz="1000"/>
          </a:pPr>
          <a:r>
            <a:rPr lang="en-AU" sz="1200" b="0" i="0" u="none" strike="noStrike" baseline="0">
              <a:solidFill>
                <a:srgbClr val="000000"/>
              </a:solidFill>
              <a:latin typeface="Arial"/>
              <a:cs typeface="Arial"/>
            </a:rPr>
            <a:t>11.2 + (l) → 24.3 + (g) + (l) → 74.79 molar volumes (cm</a:t>
          </a:r>
          <a:r>
            <a:rPr lang="en-AU" sz="1200" b="0" i="0" u="none" strike="noStrike" baseline="30000">
              <a:solidFill>
                <a:srgbClr val="000000"/>
              </a:solidFill>
              <a:latin typeface="Arial"/>
              <a:cs typeface="Arial"/>
            </a:rPr>
            <a:t>3</a:t>
          </a:r>
          <a:r>
            <a:rPr lang="en-AU" sz="1200" b="0" i="0" u="none" strike="noStrike" baseline="0">
              <a:solidFill>
                <a:srgbClr val="000000"/>
              </a:solidFill>
              <a:latin typeface="Arial"/>
              <a:cs typeface="Arial"/>
            </a:rPr>
            <a:t>).</a:t>
          </a:r>
        </a:p>
        <a:p>
          <a:pPr algn="l" rtl="0">
            <a:defRPr sz="1000"/>
          </a:pPr>
          <a:r>
            <a:rPr lang="en-AU" sz="1200" b="0" i="0" u="none" strike="noStrike" baseline="0">
              <a:solidFill>
                <a:srgbClr val="000000"/>
              </a:solidFill>
              <a:latin typeface="Arial"/>
              <a:cs typeface="Arial"/>
            </a:rPr>
            <a:t>Overall the molar volume expansion is 11.2 to 74.79 molar volumes or 568%.</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19050</xdr:colOff>
      <xdr:row>13</xdr:row>
      <xdr:rowOff>47626</xdr:rowOff>
    </xdr:from>
    <xdr:to>
      <xdr:col>13</xdr:col>
      <xdr:colOff>400050</xdr:colOff>
      <xdr:row>13</xdr:row>
      <xdr:rowOff>1552576</xdr:rowOff>
    </xdr:to>
    <xdr:sp macro="" textlink="">
      <xdr:nvSpPr>
        <xdr:cNvPr id="16385" name="Text Box 1"/>
        <xdr:cNvSpPr txBox="1">
          <a:spLocks noChangeArrowheads="1"/>
        </xdr:cNvSpPr>
      </xdr:nvSpPr>
      <xdr:spPr bwMode="auto">
        <a:xfrm>
          <a:off x="11287125" y="3676651"/>
          <a:ext cx="5438775" cy="15049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The Data in this table was downloaded from The Robie, Hemingway &amp; Fisher (1979) Database Last modified July 02, 1996 maintained by the University of California (Berkeley) Web Site at http://www.science.ubc.ca/~geol323/thermo/thermo.htm</a:t>
          </a:r>
        </a:p>
        <a:p>
          <a:pPr algn="l" rtl="0">
            <a:lnSpc>
              <a:spcPts val="1300"/>
            </a:lnSpc>
            <a:defRPr sz="1000"/>
          </a:pPr>
          <a:r>
            <a:rPr lang="en-AU" sz="1200" b="0" i="0" u="none" strike="noStrike" baseline="0">
              <a:solidFill>
                <a:srgbClr val="000000"/>
              </a:solidFill>
              <a:latin typeface="Arial"/>
              <a:cs typeface="Arial"/>
            </a:rPr>
            <a:t>The database is maintained by Dr. T H Brown (tbrown@eos.ubc.ca) and from: Robie, Richard A., Hemingway, Bruce S., and Fisher, James R. Thermodynamic Properties of Minerals &amp; Related Substances at 298.15K and 1 Bar (105 Pascals) Pressure and at Higher Temperatures. U.S. Geological Survey Bulletin 1452. Washington: United States Government Printing Office, 1978. </a:t>
          </a:r>
        </a:p>
        <a:p>
          <a:pPr algn="l" rtl="0">
            <a:lnSpc>
              <a:spcPts val="1400"/>
            </a:lnSpc>
            <a:defRPr sz="1000"/>
          </a:pPr>
          <a:endParaRPr lang="en-AU" sz="12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28575</xdr:rowOff>
    </xdr:from>
    <xdr:to>
      <xdr:col>1</xdr:col>
      <xdr:colOff>2590800</xdr:colOff>
      <xdr:row>4</xdr:row>
      <xdr:rowOff>47625</xdr:rowOff>
    </xdr:to>
    <xdr:pic>
      <xdr:nvPicPr>
        <xdr:cNvPr id="456936" name="Picture 3"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8003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14</xdr:row>
      <xdr:rowOff>276225</xdr:rowOff>
    </xdr:from>
    <xdr:to>
      <xdr:col>12</xdr:col>
      <xdr:colOff>0</xdr:colOff>
      <xdr:row>21</xdr:row>
      <xdr:rowOff>95250</xdr:rowOff>
    </xdr:to>
    <xdr:sp macro="" textlink="">
      <xdr:nvSpPr>
        <xdr:cNvPr id="16406" name="Text Box 22"/>
        <xdr:cNvSpPr txBox="1">
          <a:spLocks noChangeArrowheads="1"/>
        </xdr:cNvSpPr>
      </xdr:nvSpPr>
      <xdr:spPr bwMode="auto">
        <a:xfrm>
          <a:off x="11334750" y="5553075"/>
          <a:ext cx="5391150" cy="13525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Volume Changes</a:t>
          </a:r>
          <a:endParaRPr lang="en-AU" sz="1200" b="0" i="0" u="none" strike="noStrike" baseline="0">
            <a:solidFill>
              <a:srgbClr val="000000"/>
            </a:solidFill>
            <a:latin typeface="Arial"/>
            <a:cs typeface="Arial"/>
          </a:endParaRPr>
        </a:p>
        <a:p>
          <a:pPr algn="l" rtl="0">
            <a:defRPr sz="1000"/>
          </a:pPr>
          <a:r>
            <a:rPr lang="en-AU" sz="1200" b="0" i="0" u="none" strike="noStrike" baseline="0">
              <a:solidFill>
                <a:srgbClr val="000000"/>
              </a:solidFill>
              <a:latin typeface="Arial"/>
              <a:cs typeface="Arial"/>
            </a:rPr>
            <a:t>There are no volume changes that occur when lime hydrates to Portlandite and then carbonates:</a:t>
          </a:r>
        </a:p>
        <a:p>
          <a:pPr algn="l" rtl="0">
            <a:defRPr sz="1000"/>
          </a:pPr>
          <a:r>
            <a:rPr lang="en-AU" sz="1200" b="0" i="0" u="none" strike="noStrike" baseline="0">
              <a:solidFill>
                <a:srgbClr val="000000"/>
              </a:solidFill>
              <a:latin typeface="Arial"/>
              <a:cs typeface="Arial"/>
            </a:rPr>
            <a:t>CaO + H2O → Ca(OH)2 + CO2 → CaCO3 + H2O</a:t>
          </a:r>
        </a:p>
        <a:p>
          <a:pPr algn="l" rtl="0">
            <a:defRPr sz="1000"/>
          </a:pPr>
          <a:r>
            <a:rPr lang="en-AU" sz="1200" b="0" i="0" u="none" strike="noStrike" baseline="0">
              <a:solidFill>
                <a:srgbClr val="000000"/>
              </a:solidFill>
              <a:latin typeface="Arial"/>
              <a:cs typeface="Arial"/>
            </a:rPr>
            <a:t>16.79 + (l) → 33.07 + (g) + (l) → 33.07 + (l)  molar volumes.</a:t>
          </a:r>
        </a:p>
        <a:p>
          <a:pPr algn="l" rtl="0">
            <a:defRPr sz="1000"/>
          </a:pPr>
          <a:r>
            <a:rPr lang="en-AU" sz="1200" b="0" i="0" u="none" strike="noStrike" baseline="0">
              <a:solidFill>
                <a:srgbClr val="000000"/>
              </a:solidFill>
              <a:latin typeface="Arial"/>
              <a:cs typeface="Arial"/>
            </a:rPr>
            <a:t>Observed shrinkage is from loss of water.</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1933575</xdr:colOff>
      <xdr:row>3</xdr:row>
      <xdr:rowOff>123825</xdr:rowOff>
    </xdr:to>
    <xdr:pic>
      <xdr:nvPicPr>
        <xdr:cNvPr id="3" name="Picture 2" descr="TecEcoLogoSmaller3Feb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2514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ececo.com/" TargetMode="External"/><Relationship Id="rId1" Type="http://schemas.openxmlformats.org/officeDocument/2006/relationships/hyperlink" Target="http://www.gaiaengineering.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minerals.usgs.gov/minerals/pubs/commodity/cement/mcs-2012-ceme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23"/>
  <sheetViews>
    <sheetView topLeftCell="A73" workbookViewId="0">
      <selection activeCell="A55" sqref="A55:XFD55"/>
    </sheetView>
  </sheetViews>
  <sheetFormatPr defaultRowHeight="15" x14ac:dyDescent="0.2"/>
  <cols>
    <col min="1" max="16384" width="8.88671875" style="1"/>
  </cols>
  <sheetData>
    <row r="1" spans="2:14" ht="23.25" x14ac:dyDescent="0.35">
      <c r="I1" s="34"/>
    </row>
    <row r="2" spans="2:14" x14ac:dyDescent="0.2">
      <c r="I2" s="35"/>
    </row>
    <row r="4" spans="2:14" ht="22.5" customHeight="1" x14ac:dyDescent="0.5">
      <c r="B4" s="22"/>
      <c r="C4" s="23" t="s">
        <v>503</v>
      </c>
      <c r="D4" s="18"/>
      <c r="E4" s="18"/>
      <c r="F4" s="18"/>
      <c r="G4" s="18"/>
      <c r="H4" s="18"/>
      <c r="I4" s="18"/>
      <c r="J4" s="18"/>
      <c r="K4" s="18"/>
      <c r="L4" s="18"/>
      <c r="M4" s="18"/>
      <c r="N4" s="18"/>
    </row>
    <row r="5" spans="2:14" x14ac:dyDescent="0.2">
      <c r="B5" s="11"/>
    </row>
    <row r="6" spans="2:14" x14ac:dyDescent="0.2">
      <c r="B6" s="11"/>
    </row>
    <row r="7" spans="2:14" x14ac:dyDescent="0.2">
      <c r="B7" s="11"/>
    </row>
    <row r="8" spans="2:14" x14ac:dyDescent="0.2">
      <c r="B8" s="11"/>
    </row>
    <row r="9" spans="2:14" x14ac:dyDescent="0.2">
      <c r="B9" s="11"/>
    </row>
    <row r="10" spans="2:14" x14ac:dyDescent="0.2">
      <c r="B10" s="11"/>
    </row>
    <row r="11" spans="2:14" x14ac:dyDescent="0.2">
      <c r="B11" s="11"/>
    </row>
    <row r="12" spans="2:14" x14ac:dyDescent="0.2">
      <c r="B12" s="11"/>
    </row>
    <row r="13" spans="2:14" x14ac:dyDescent="0.2">
      <c r="B13" s="11"/>
    </row>
    <row r="14" spans="2:14" x14ac:dyDescent="0.2">
      <c r="B14" s="11"/>
    </row>
    <row r="15" spans="2:14" x14ac:dyDescent="0.2">
      <c r="B15" s="11"/>
    </row>
    <row r="16" spans="2:14" x14ac:dyDescent="0.2">
      <c r="B16" s="11"/>
    </row>
    <row r="17" spans="2:2" x14ac:dyDescent="0.2">
      <c r="B17" s="11"/>
    </row>
    <row r="18" spans="2:2" x14ac:dyDescent="0.2">
      <c r="B18" s="11"/>
    </row>
    <row r="19" spans="2:2" x14ac:dyDescent="0.2">
      <c r="B19" s="11"/>
    </row>
    <row r="20" spans="2:2" x14ac:dyDescent="0.2">
      <c r="B20" s="11"/>
    </row>
    <row r="21" spans="2:2" x14ac:dyDescent="0.2">
      <c r="B21" s="11"/>
    </row>
    <row r="22" spans="2:2" x14ac:dyDescent="0.2">
      <c r="B22" s="11"/>
    </row>
    <row r="23" spans="2:2" x14ac:dyDescent="0.2">
      <c r="B23" s="11"/>
    </row>
    <row r="24" spans="2:2" x14ac:dyDescent="0.2">
      <c r="B24" s="11"/>
    </row>
    <row r="25" spans="2:2" x14ac:dyDescent="0.2">
      <c r="B25" s="11"/>
    </row>
    <row r="26" spans="2:2" x14ac:dyDescent="0.2">
      <c r="B26" s="11"/>
    </row>
    <row r="27" spans="2:2" x14ac:dyDescent="0.2">
      <c r="B27" s="11"/>
    </row>
    <row r="28" spans="2:2" x14ac:dyDescent="0.2">
      <c r="B28" s="11"/>
    </row>
    <row r="29" spans="2:2" x14ac:dyDescent="0.2">
      <c r="B29" s="11"/>
    </row>
    <row r="30" spans="2:2" x14ac:dyDescent="0.2">
      <c r="B30" s="11"/>
    </row>
    <row r="31" spans="2:2" x14ac:dyDescent="0.2">
      <c r="B31" s="11"/>
    </row>
    <row r="32" spans="2:2" x14ac:dyDescent="0.2">
      <c r="B32" s="11"/>
    </row>
    <row r="33" spans="2:2" x14ac:dyDescent="0.2">
      <c r="B33" s="11"/>
    </row>
    <row r="34" spans="2:2" x14ac:dyDescent="0.2">
      <c r="B34" s="11"/>
    </row>
    <row r="35" spans="2:2" x14ac:dyDescent="0.2">
      <c r="B35" s="11"/>
    </row>
    <row r="36" spans="2:2" x14ac:dyDescent="0.2">
      <c r="B36" s="11"/>
    </row>
    <row r="37" spans="2:2" x14ac:dyDescent="0.2">
      <c r="B37" s="11"/>
    </row>
    <row r="38" spans="2:2" x14ac:dyDescent="0.2">
      <c r="B38" s="11"/>
    </row>
    <row r="39" spans="2:2" x14ac:dyDescent="0.2">
      <c r="B39" s="11"/>
    </row>
    <row r="40" spans="2:2" x14ac:dyDescent="0.2">
      <c r="B40" s="11"/>
    </row>
    <row r="41" spans="2:2" x14ac:dyDescent="0.2">
      <c r="B41" s="11"/>
    </row>
    <row r="42" spans="2:2" x14ac:dyDescent="0.2">
      <c r="B42" s="11"/>
    </row>
    <row r="43" spans="2:2" x14ac:dyDescent="0.2">
      <c r="B43" s="11"/>
    </row>
    <row r="44" spans="2:2" x14ac:dyDescent="0.2">
      <c r="B44" s="11"/>
    </row>
    <row r="45" spans="2:2" x14ac:dyDescent="0.2">
      <c r="B45" s="11"/>
    </row>
    <row r="46" spans="2:2" x14ac:dyDescent="0.2">
      <c r="B46" s="11"/>
    </row>
    <row r="47" spans="2:2" x14ac:dyDescent="0.2">
      <c r="B47" s="11"/>
    </row>
    <row r="48" spans="2:2" x14ac:dyDescent="0.2">
      <c r="B48" s="11"/>
    </row>
    <row r="49" spans="2:2" x14ac:dyDescent="0.2">
      <c r="B49" s="11"/>
    </row>
    <row r="50" spans="2:2" x14ac:dyDescent="0.2">
      <c r="B50" s="11"/>
    </row>
    <row r="51" spans="2:2" x14ac:dyDescent="0.2">
      <c r="B51" s="11"/>
    </row>
    <row r="52" spans="2:2" x14ac:dyDescent="0.2">
      <c r="B52" s="11"/>
    </row>
    <row r="53" spans="2:2" x14ac:dyDescent="0.2">
      <c r="B53" s="11"/>
    </row>
    <row r="54" spans="2:2" x14ac:dyDescent="0.2">
      <c r="B54" s="11"/>
    </row>
    <row r="55" spans="2:2" x14ac:dyDescent="0.2">
      <c r="B55" s="11"/>
    </row>
    <row r="56" spans="2:2" x14ac:dyDescent="0.2">
      <c r="B56" s="11"/>
    </row>
    <row r="57" spans="2:2" x14ac:dyDescent="0.2">
      <c r="B57" s="11"/>
    </row>
    <row r="58" spans="2:2" x14ac:dyDescent="0.2">
      <c r="B58" s="11"/>
    </row>
    <row r="59" spans="2:2" x14ac:dyDescent="0.2">
      <c r="B59" s="11"/>
    </row>
    <row r="60" spans="2:2" x14ac:dyDescent="0.2">
      <c r="B60" s="11"/>
    </row>
    <row r="61" spans="2:2" x14ac:dyDescent="0.2">
      <c r="B61" s="11"/>
    </row>
    <row r="62" spans="2:2" x14ac:dyDescent="0.2">
      <c r="B62" s="11"/>
    </row>
    <row r="63" spans="2:2" x14ac:dyDescent="0.2">
      <c r="B63" s="11"/>
    </row>
    <row r="64" spans="2:2" x14ac:dyDescent="0.2">
      <c r="B64" s="11"/>
    </row>
    <row r="65" spans="2:2" x14ac:dyDescent="0.2">
      <c r="B65" s="11"/>
    </row>
    <row r="66" spans="2:2" x14ac:dyDescent="0.2">
      <c r="B66" s="11"/>
    </row>
    <row r="84" spans="4:8" x14ac:dyDescent="0.2">
      <c r="D84" s="11"/>
      <c r="E84" s="11"/>
      <c r="F84" s="11"/>
      <c r="G84" s="11"/>
      <c r="H84" s="11"/>
    </row>
    <row r="85" spans="4:8" x14ac:dyDescent="0.2">
      <c r="D85" s="11"/>
      <c r="E85" s="11"/>
      <c r="F85" s="11"/>
      <c r="G85" s="11"/>
      <c r="H85" s="11"/>
    </row>
    <row r="86" spans="4:8" x14ac:dyDescent="0.2">
      <c r="D86" s="11"/>
      <c r="E86" s="11"/>
      <c r="F86" s="11"/>
      <c r="G86" s="11"/>
      <c r="H86" s="11"/>
    </row>
    <row r="87" spans="4:8" x14ac:dyDescent="0.2">
      <c r="D87" s="11"/>
      <c r="E87" s="11"/>
      <c r="F87" s="11"/>
      <c r="G87" s="11"/>
      <c r="H87" s="11"/>
    </row>
    <row r="88" spans="4:8" x14ac:dyDescent="0.2">
      <c r="D88" s="11"/>
      <c r="E88" s="11"/>
      <c r="F88" s="11"/>
      <c r="G88" s="11"/>
      <c r="H88" s="11"/>
    </row>
    <row r="89" spans="4:8" x14ac:dyDescent="0.2">
      <c r="D89" s="11"/>
      <c r="E89" s="11"/>
      <c r="F89" s="11"/>
      <c r="G89" s="11"/>
      <c r="H89" s="11"/>
    </row>
    <row r="90" spans="4:8" x14ac:dyDescent="0.2">
      <c r="D90" s="11"/>
      <c r="E90" s="11"/>
      <c r="F90" s="11"/>
      <c r="G90" s="11"/>
      <c r="H90" s="11"/>
    </row>
    <row r="91" spans="4:8" x14ac:dyDescent="0.2">
      <c r="D91" s="11"/>
      <c r="E91" s="11"/>
      <c r="F91" s="11"/>
      <c r="G91" s="11"/>
      <c r="H91" s="11"/>
    </row>
    <row r="92" spans="4:8" x14ac:dyDescent="0.2">
      <c r="D92" s="11"/>
      <c r="E92" s="11"/>
      <c r="F92" s="11"/>
      <c r="G92" s="11"/>
      <c r="H92" s="11"/>
    </row>
    <row r="93" spans="4:8" x14ac:dyDescent="0.2">
      <c r="D93" s="11"/>
      <c r="E93" s="11"/>
      <c r="F93" s="11"/>
      <c r="G93" s="11"/>
      <c r="H93" s="11"/>
    </row>
    <row r="95" spans="4:8" ht="26.25" x14ac:dyDescent="0.4">
      <c r="D95" s="36"/>
      <c r="E95" s="36"/>
    </row>
    <row r="97" spans="4:8" x14ac:dyDescent="0.2">
      <c r="D97" s="2"/>
      <c r="E97" s="2"/>
      <c r="F97" s="2"/>
    </row>
    <row r="98" spans="4:8" x14ac:dyDescent="0.2">
      <c r="D98" s="33"/>
      <c r="E98" s="33"/>
      <c r="F98" s="33"/>
    </row>
    <row r="99" spans="4:8" x14ac:dyDescent="0.2">
      <c r="D99" s="11"/>
      <c r="E99" s="11"/>
      <c r="F99" s="11"/>
      <c r="G99" s="11"/>
      <c r="H99" s="11"/>
    </row>
    <row r="100" spans="4:8" x14ac:dyDescent="0.2">
      <c r="D100" s="11"/>
      <c r="E100" s="11"/>
      <c r="F100" s="33"/>
      <c r="G100" s="11"/>
      <c r="H100" s="11"/>
    </row>
    <row r="101" spans="4:8" x14ac:dyDescent="0.2">
      <c r="D101" s="11"/>
      <c r="E101" s="11"/>
      <c r="F101" s="11"/>
      <c r="G101" s="11"/>
      <c r="H101" s="11"/>
    </row>
    <row r="102" spans="4:8" x14ac:dyDescent="0.2">
      <c r="D102" s="11"/>
      <c r="E102" s="11"/>
      <c r="F102" s="11"/>
      <c r="G102" s="11"/>
      <c r="H102" s="11"/>
    </row>
    <row r="103" spans="4:8" x14ac:dyDescent="0.2">
      <c r="F103" s="11"/>
      <c r="G103" s="11"/>
      <c r="H103" s="11"/>
    </row>
    <row r="104" spans="4:8" x14ac:dyDescent="0.2">
      <c r="F104" s="11"/>
      <c r="G104" s="11"/>
      <c r="H104" s="11"/>
    </row>
    <row r="116" spans="1:5" ht="26.25" x14ac:dyDescent="0.4">
      <c r="D116" s="36"/>
      <c r="E116" s="36"/>
    </row>
    <row r="117" spans="1:5" x14ac:dyDescent="0.2">
      <c r="A117" s="11"/>
      <c r="B117" s="33"/>
      <c r="C117" s="33"/>
      <c r="D117" s="11"/>
      <c r="E117" s="11"/>
    </row>
    <row r="118" spans="1:5" x14ac:dyDescent="0.2">
      <c r="A118" s="11"/>
      <c r="B118" s="33"/>
      <c r="C118" s="33"/>
      <c r="D118" s="11"/>
      <c r="E118" s="11"/>
    </row>
    <row r="119" spans="1:5" x14ac:dyDescent="0.2">
      <c r="A119" s="11"/>
      <c r="B119" s="11"/>
      <c r="C119" s="11"/>
      <c r="D119" s="11"/>
      <c r="E119" s="11"/>
    </row>
    <row r="120" spans="1:5" x14ac:dyDescent="0.2">
      <c r="A120" s="11"/>
      <c r="B120" s="11"/>
      <c r="C120" s="33"/>
      <c r="D120" s="11"/>
      <c r="E120" s="11"/>
    </row>
    <row r="121" spans="1:5" x14ac:dyDescent="0.2">
      <c r="A121" s="11"/>
      <c r="B121" s="11"/>
      <c r="C121" s="11"/>
      <c r="D121" s="11"/>
      <c r="E121" s="11"/>
    </row>
    <row r="122" spans="1:5" x14ac:dyDescent="0.2">
      <c r="A122" s="11"/>
      <c r="B122" s="11"/>
      <c r="C122" s="11"/>
      <c r="D122" s="11"/>
      <c r="E122" s="11"/>
    </row>
    <row r="123" spans="1:5" x14ac:dyDescent="0.2">
      <c r="A123" s="11"/>
      <c r="B123" s="11"/>
      <c r="C123" s="11"/>
      <c r="D123" s="11"/>
      <c r="E123" s="11"/>
    </row>
  </sheetData>
  <phoneticPr fontId="0" type="noConversion"/>
  <pageMargins left="0.75" right="0.75" top="1" bottom="1" header="0.5" footer="0.5"/>
  <pageSetup paperSize="9" scale="60"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opLeftCell="A4" workbookViewId="0">
      <selection activeCell="C22" sqref="C22"/>
    </sheetView>
  </sheetViews>
  <sheetFormatPr defaultColWidth="7.109375" defaultRowHeight="15" x14ac:dyDescent="0.2"/>
  <cols>
    <col min="1" max="1" width="7.109375" style="98" customWidth="1"/>
    <col min="2" max="2" width="31.21875" style="98" customWidth="1"/>
    <col min="3" max="3" width="12.5546875" style="98" customWidth="1"/>
    <col min="4" max="4" width="8.5546875" style="98" customWidth="1"/>
    <col min="5" max="5" width="8.88671875" style="98" customWidth="1"/>
    <col min="6" max="6" width="15" style="98" customWidth="1"/>
    <col min="7" max="7" width="15" style="158" customWidth="1"/>
    <col min="8" max="8" width="14.33203125" style="98" customWidth="1"/>
    <col min="9" max="9" width="11.88671875" style="98" customWidth="1"/>
    <col min="10" max="10" width="13.21875" style="98" customWidth="1"/>
    <col min="11" max="11" width="13" style="98" customWidth="1"/>
    <col min="12" max="12" width="12.44140625" style="98" customWidth="1"/>
    <col min="13" max="16384" width="7.109375" style="98"/>
  </cols>
  <sheetData>
    <row r="1" spans="1:26" s="38" customFormat="1" ht="23.25" x14ac:dyDescent="0.35">
      <c r="A1" s="333"/>
      <c r="B1" s="333"/>
      <c r="C1" s="333"/>
      <c r="D1" s="333"/>
      <c r="E1" s="333"/>
      <c r="F1" s="333"/>
      <c r="G1" s="333"/>
      <c r="H1" s="333"/>
      <c r="I1" s="189"/>
      <c r="J1" s="333"/>
      <c r="K1" s="333"/>
      <c r="L1" s="333"/>
      <c r="M1" s="333"/>
      <c r="N1" s="333"/>
      <c r="O1" s="333"/>
      <c r="P1" s="333"/>
      <c r="Q1" s="333"/>
      <c r="R1" s="333"/>
      <c r="S1" s="333"/>
      <c r="T1" s="333"/>
      <c r="U1" s="333"/>
      <c r="V1" s="333"/>
      <c r="W1" s="333"/>
      <c r="X1" s="333"/>
      <c r="Y1" s="333"/>
      <c r="Z1" s="333"/>
    </row>
    <row r="2" spans="1:26" s="38" customFormat="1" x14ac:dyDescent="0.2">
      <c r="A2" s="333"/>
      <c r="B2" s="333"/>
      <c r="C2" s="333"/>
      <c r="D2" s="333"/>
      <c r="E2" s="333"/>
      <c r="F2" s="333"/>
      <c r="G2" s="333"/>
      <c r="I2" s="32"/>
      <c r="L2" s="333"/>
      <c r="M2" s="333"/>
      <c r="O2" s="333"/>
      <c r="P2" s="333"/>
    </row>
    <row r="3" spans="1:26" s="38" customFormat="1" ht="15" customHeight="1" x14ac:dyDescent="0.2">
      <c r="A3" s="333"/>
      <c r="B3" s="333"/>
      <c r="C3" s="333"/>
      <c r="D3" s="333"/>
      <c r="E3" s="333"/>
      <c r="F3" s="333"/>
      <c r="G3" s="333"/>
      <c r="H3" s="333"/>
      <c r="I3" s="333"/>
      <c r="J3" s="333"/>
      <c r="K3" s="333"/>
      <c r="L3" s="333"/>
      <c r="M3" s="333"/>
      <c r="N3" s="333"/>
      <c r="O3" s="333"/>
      <c r="P3" s="333"/>
    </row>
    <row r="4" spans="1:26" s="38" customFormat="1" ht="14.25" customHeight="1" x14ac:dyDescent="0.2">
      <c r="A4" s="333"/>
      <c r="B4" s="333"/>
      <c r="C4" s="333"/>
      <c r="D4" s="333"/>
      <c r="E4" s="333"/>
      <c r="F4" s="333"/>
      <c r="G4" s="333"/>
      <c r="H4" s="333"/>
      <c r="I4" s="333"/>
      <c r="J4" s="333"/>
      <c r="K4" s="333"/>
      <c r="L4" s="333"/>
      <c r="M4" s="333"/>
      <c r="N4" s="333"/>
      <c r="O4" s="333"/>
      <c r="P4" s="333"/>
    </row>
    <row r="5" spans="1:26" s="64" customFormat="1" ht="15.75" customHeight="1" x14ac:dyDescent="0.25">
      <c r="A5" s="97" t="s">
        <v>446</v>
      </c>
      <c r="B5" s="338"/>
      <c r="C5" s="97"/>
      <c r="D5" s="110"/>
      <c r="E5" s="76"/>
      <c r="F5" s="76"/>
      <c r="G5" s="76"/>
      <c r="H5" s="79"/>
      <c r="I5" s="97"/>
      <c r="J5" s="97"/>
      <c r="K5" s="97"/>
      <c r="L5" s="97"/>
    </row>
    <row r="6" spans="1:26" s="64" customFormat="1" ht="15.75" customHeight="1" x14ac:dyDescent="0.25">
      <c r="A6" s="97"/>
      <c r="B6" s="344"/>
      <c r="C6" s="97"/>
      <c r="D6" s="110" t="s">
        <v>338</v>
      </c>
      <c r="E6" s="76" t="s">
        <v>459</v>
      </c>
      <c r="F6" s="76"/>
      <c r="G6" s="76"/>
      <c r="H6" s="79"/>
      <c r="I6" s="97"/>
      <c r="J6" s="97"/>
      <c r="K6" s="97"/>
      <c r="L6" s="97"/>
    </row>
    <row r="7" spans="1:26" s="64" customFormat="1" ht="15.75" customHeight="1" x14ac:dyDescent="0.2">
      <c r="A7" s="397"/>
      <c r="B7" s="97"/>
      <c r="C7" s="397" t="s">
        <v>458</v>
      </c>
      <c r="D7" s="110" t="s">
        <v>451</v>
      </c>
      <c r="E7" s="110" t="s">
        <v>451</v>
      </c>
      <c r="F7" s="76" t="s">
        <v>107</v>
      </c>
      <c r="G7" s="76"/>
      <c r="H7" s="76"/>
      <c r="I7" s="76"/>
      <c r="J7" s="76"/>
      <c r="K7" s="76"/>
      <c r="L7" s="76"/>
    </row>
    <row r="8" spans="1:26" s="64" customFormat="1" ht="15.75" customHeight="1" x14ac:dyDescent="0.25">
      <c r="A8" s="397"/>
      <c r="B8" s="97" t="s">
        <v>9</v>
      </c>
      <c r="C8" s="397">
        <f>'P C Data'!D22</f>
        <v>44.42</v>
      </c>
      <c r="D8" s="397">
        <f t="shared" ref="D8:D15" si="0">$C$22*$C8</f>
        <v>133.26</v>
      </c>
      <c r="E8" s="397">
        <f t="shared" ref="E8:E15" si="1">$C$23*$C8</f>
        <v>99.945000000000007</v>
      </c>
      <c r="F8" s="397"/>
      <c r="G8" s="397"/>
      <c r="H8" s="396"/>
      <c r="I8" s="396"/>
      <c r="J8" s="396"/>
      <c r="K8" s="396"/>
      <c r="L8" s="396"/>
    </row>
    <row r="9" spans="1:26" s="64" customFormat="1" ht="15.75" customHeight="1" x14ac:dyDescent="0.25">
      <c r="A9" s="397"/>
      <c r="B9" s="97" t="s">
        <v>18</v>
      </c>
      <c r="C9" s="397">
        <f>'P C Data'!D23</f>
        <v>80.3</v>
      </c>
      <c r="D9" s="397">
        <f t="shared" si="0"/>
        <v>240.89999999999998</v>
      </c>
      <c r="E9" s="397">
        <f t="shared" si="1"/>
        <v>180.67499999999998</v>
      </c>
      <c r="F9" s="395"/>
      <c r="G9" s="395"/>
      <c r="H9" s="397"/>
      <c r="I9" s="396"/>
      <c r="J9" s="398"/>
      <c r="K9" s="398"/>
      <c r="L9" s="396"/>
    </row>
    <row r="10" spans="1:26" s="64" customFormat="1" ht="15.75" customHeight="1" x14ac:dyDescent="0.25">
      <c r="A10" s="397"/>
      <c r="B10" s="97" t="s">
        <v>56</v>
      </c>
      <c r="C10" s="408">
        <f>'P C Data'!D25</f>
        <v>17.77</v>
      </c>
      <c r="D10" s="397">
        <f t="shared" si="0"/>
        <v>53.31</v>
      </c>
      <c r="E10" s="397">
        <f t="shared" si="1"/>
        <v>39.982500000000002</v>
      </c>
      <c r="F10" s="400"/>
      <c r="G10" s="400"/>
      <c r="H10" s="401"/>
      <c r="I10" s="401"/>
      <c r="J10" s="402"/>
      <c r="K10" s="402"/>
      <c r="L10" s="402"/>
    </row>
    <row r="11" spans="1:26" s="64" customFormat="1" ht="15.75" customHeight="1" x14ac:dyDescent="0.25">
      <c r="A11" s="397"/>
      <c r="B11" s="97" t="s">
        <v>57</v>
      </c>
      <c r="C11" s="437">
        <f>'P C Data'!D26</f>
        <v>35.53</v>
      </c>
      <c r="D11" s="397">
        <f t="shared" si="0"/>
        <v>106.59</v>
      </c>
      <c r="E11" s="397">
        <f t="shared" si="1"/>
        <v>79.942499999999995</v>
      </c>
      <c r="F11" s="403"/>
      <c r="G11" s="400"/>
      <c r="H11" s="401"/>
      <c r="I11" s="401"/>
      <c r="J11" s="402"/>
      <c r="K11" s="402"/>
      <c r="L11" s="402"/>
    </row>
    <row r="12" spans="1:26" s="64" customFormat="1" ht="15.75" customHeight="1" x14ac:dyDescent="0.25">
      <c r="A12" s="397"/>
      <c r="B12" s="97" t="s">
        <v>381</v>
      </c>
      <c r="C12" s="404">
        <v>50</v>
      </c>
      <c r="D12" s="397">
        <f t="shared" si="0"/>
        <v>150</v>
      </c>
      <c r="E12" s="397">
        <f t="shared" si="1"/>
        <v>112.5</v>
      </c>
      <c r="F12" s="404" t="s">
        <v>447</v>
      </c>
      <c r="G12" s="400"/>
      <c r="H12" s="401"/>
      <c r="I12" s="401"/>
      <c r="J12" s="402"/>
      <c r="K12" s="402"/>
      <c r="L12" s="402"/>
    </row>
    <row r="13" spans="1:26" s="64" customFormat="1" ht="15.75" customHeight="1" x14ac:dyDescent="0.2">
      <c r="A13" s="397"/>
      <c r="B13" s="97" t="s">
        <v>58</v>
      </c>
      <c r="C13" s="408">
        <f>'P C Data'!D27</f>
        <v>34.19</v>
      </c>
      <c r="D13" s="397">
        <f t="shared" si="0"/>
        <v>102.57</v>
      </c>
      <c r="E13" s="397">
        <f t="shared" si="1"/>
        <v>76.927499999999995</v>
      </c>
      <c r="F13" s="405"/>
      <c r="G13" s="397"/>
      <c r="H13" s="401"/>
      <c r="I13" s="401"/>
      <c r="J13" s="409"/>
      <c r="K13" s="409"/>
      <c r="L13" s="409"/>
    </row>
    <row r="14" spans="1:26" s="64" customFormat="1" ht="15.75" customHeight="1" x14ac:dyDescent="0.2">
      <c r="A14" s="397"/>
      <c r="B14" s="97" t="s">
        <v>55</v>
      </c>
      <c r="C14" s="408">
        <f>'P C Data'!D58</f>
        <v>194.51</v>
      </c>
      <c r="D14" s="397">
        <f t="shared" si="0"/>
        <v>583.53</v>
      </c>
      <c r="E14" s="397">
        <f t="shared" si="1"/>
        <v>437.64749999999998</v>
      </c>
      <c r="F14" s="405"/>
      <c r="G14" s="405"/>
      <c r="H14" s="410"/>
      <c r="I14" s="410"/>
      <c r="J14" s="409"/>
      <c r="K14" s="409"/>
      <c r="L14" s="409"/>
    </row>
    <row r="15" spans="1:26" s="64" customFormat="1" ht="15.75" customHeight="1" x14ac:dyDescent="0.2">
      <c r="A15" s="397"/>
      <c r="B15" s="97" t="s">
        <v>44</v>
      </c>
      <c r="C15" s="408">
        <f>'P C Data'!M59</f>
        <v>250</v>
      </c>
      <c r="D15" s="397">
        <f t="shared" si="0"/>
        <v>750</v>
      </c>
      <c r="E15" s="397">
        <f t="shared" si="1"/>
        <v>562.5</v>
      </c>
      <c r="F15" s="405"/>
      <c r="G15" s="405"/>
      <c r="H15" s="411"/>
      <c r="I15" s="884"/>
      <c r="J15" s="885"/>
      <c r="K15" s="885"/>
      <c r="L15" s="409"/>
    </row>
    <row r="16" spans="1:26" s="64" customFormat="1" ht="15.75" customHeight="1" x14ac:dyDescent="0.2">
      <c r="A16" s="397"/>
      <c r="B16" s="97"/>
      <c r="C16" s="408"/>
      <c r="D16" s="405"/>
      <c r="E16" s="405"/>
      <c r="F16" s="405"/>
      <c r="G16" s="405"/>
      <c r="H16" s="412"/>
      <c r="I16" s="412"/>
      <c r="J16" s="413"/>
      <c r="K16" s="413"/>
      <c r="L16" s="409"/>
    </row>
    <row r="17" spans="1:12" s="64" customFormat="1" ht="15.75" customHeight="1" x14ac:dyDescent="0.2">
      <c r="A17" s="397"/>
      <c r="B17" s="97" t="s">
        <v>456</v>
      </c>
      <c r="C17" s="405">
        <v>100</v>
      </c>
      <c r="D17" s="397">
        <f>$C$22*$C17</f>
        <v>300</v>
      </c>
      <c r="E17" s="397">
        <f>$C$23*$C17</f>
        <v>225</v>
      </c>
      <c r="F17" s="408" t="s">
        <v>457</v>
      </c>
      <c r="G17" s="399"/>
      <c r="H17" s="406"/>
      <c r="I17" s="406"/>
      <c r="J17" s="407"/>
      <c r="K17" s="407"/>
      <c r="L17" s="407"/>
    </row>
    <row r="18" spans="1:12" s="64" customFormat="1" ht="15.75" customHeight="1" x14ac:dyDescent="0.25">
      <c r="A18" s="397"/>
      <c r="B18" s="97"/>
      <c r="C18" s="408"/>
      <c r="D18" s="408"/>
      <c r="E18" s="408"/>
      <c r="F18" s="408"/>
      <c r="G18" s="415"/>
      <c r="H18" s="412"/>
      <c r="I18" s="412"/>
      <c r="J18" s="416"/>
      <c r="K18" s="416"/>
      <c r="L18" s="417"/>
    </row>
    <row r="19" spans="1:12" s="64" customFormat="1" ht="15.75" customHeight="1" x14ac:dyDescent="0.25">
      <c r="A19" s="408" t="s">
        <v>450</v>
      </c>
      <c r="B19" s="97"/>
      <c r="C19" s="395"/>
      <c r="D19" s="395"/>
      <c r="E19" s="395"/>
      <c r="F19" s="418"/>
      <c r="G19" s="395"/>
      <c r="H19" s="418"/>
      <c r="I19" s="408"/>
      <c r="J19" s="408"/>
      <c r="K19" s="408"/>
      <c r="L19" s="417"/>
    </row>
    <row r="20" spans="1:12" s="64" customFormat="1" ht="15.75" customHeight="1" x14ac:dyDescent="0.25">
      <c r="A20" s="408"/>
      <c r="B20" s="97"/>
      <c r="C20" s="395"/>
      <c r="D20" s="395"/>
      <c r="E20" s="395"/>
      <c r="F20" s="418"/>
      <c r="G20" s="395"/>
      <c r="H20" s="418"/>
      <c r="I20" s="408"/>
      <c r="J20" s="408"/>
      <c r="K20" s="408"/>
      <c r="L20" s="417"/>
    </row>
    <row r="21" spans="1:12" ht="15.75" customHeight="1" x14ac:dyDescent="0.25">
      <c r="A21" s="408"/>
      <c r="B21" s="97"/>
      <c r="C21" s="405"/>
      <c r="D21" s="399"/>
      <c r="E21" s="395"/>
      <c r="F21" s="405"/>
      <c r="G21" s="419"/>
      <c r="H21" s="419"/>
      <c r="I21" s="408"/>
      <c r="J21" s="408"/>
      <c r="K21" s="408"/>
      <c r="L21" s="417"/>
    </row>
    <row r="22" spans="1:12" ht="15.75" customHeight="1" x14ac:dyDescent="0.25">
      <c r="A22" s="408"/>
      <c r="B22" s="97" t="s">
        <v>449</v>
      </c>
      <c r="C22" s="405">
        <v>3</v>
      </c>
      <c r="D22" s="415" t="s">
        <v>451</v>
      </c>
      <c r="E22" s="395"/>
      <c r="F22" s="415" t="s">
        <v>452</v>
      </c>
      <c r="G22" s="419"/>
      <c r="H22" s="419"/>
      <c r="I22" s="408"/>
      <c r="J22" s="408"/>
      <c r="K22" s="408"/>
      <c r="L22" s="417"/>
    </row>
    <row r="23" spans="1:12" ht="15.75" customHeight="1" x14ac:dyDescent="0.25">
      <c r="A23" s="408"/>
      <c r="B23" s="97" t="s">
        <v>453</v>
      </c>
      <c r="C23" s="405">
        <v>2.25</v>
      </c>
      <c r="D23" s="408" t="s">
        <v>451</v>
      </c>
      <c r="E23" s="395"/>
      <c r="F23" s="415" t="s">
        <v>454</v>
      </c>
      <c r="G23" s="419"/>
      <c r="H23" s="419"/>
      <c r="I23" s="408"/>
      <c r="J23" s="408"/>
      <c r="K23" s="408"/>
      <c r="L23" s="417"/>
    </row>
    <row r="24" spans="1:12" ht="15.75" customHeight="1" x14ac:dyDescent="0.25">
      <c r="A24" s="408"/>
      <c r="B24" s="97"/>
      <c r="C24" s="405"/>
      <c r="D24" s="399"/>
      <c r="E24" s="405"/>
      <c r="F24" s="408"/>
      <c r="G24" s="419"/>
      <c r="H24" s="419"/>
      <c r="I24" s="408"/>
      <c r="J24" s="408"/>
      <c r="K24" s="408"/>
      <c r="L24" s="417"/>
    </row>
    <row r="25" spans="1:12" ht="15.75" customHeight="1" x14ac:dyDescent="0.25">
      <c r="A25" s="408"/>
      <c r="B25" s="97"/>
      <c r="C25" s="405"/>
      <c r="D25" s="405"/>
      <c r="E25" s="405"/>
      <c r="F25" s="405"/>
      <c r="G25" s="419"/>
      <c r="H25" s="419"/>
      <c r="I25" s="408"/>
      <c r="J25" s="408"/>
      <c r="K25" s="408"/>
      <c r="L25" s="417"/>
    </row>
    <row r="26" spans="1:12" s="64" customFormat="1" ht="15.75" customHeight="1" x14ac:dyDescent="0.25">
      <c r="A26" s="397"/>
      <c r="B26" s="97"/>
      <c r="C26" s="405"/>
      <c r="D26" s="395"/>
      <c r="E26" s="420"/>
      <c r="F26" s="405"/>
      <c r="G26" s="395"/>
      <c r="H26" s="420"/>
      <c r="I26" s="408"/>
      <c r="J26" s="408"/>
      <c r="K26" s="408"/>
      <c r="L26" s="408"/>
    </row>
    <row r="27" spans="1:12" s="64" customFormat="1" ht="15.75" customHeight="1" x14ac:dyDescent="0.2">
      <c r="A27" s="397"/>
      <c r="B27" s="97"/>
      <c r="C27" s="421"/>
      <c r="D27" s="422"/>
      <c r="E27" s="423"/>
      <c r="F27" s="421"/>
      <c r="G27" s="422"/>
      <c r="H27" s="423"/>
      <c r="I27" s="408"/>
      <c r="J27" s="408"/>
      <c r="K27" s="408"/>
      <c r="L27" s="408"/>
    </row>
    <row r="28" spans="1:12" s="64" customFormat="1" ht="15.75" customHeight="1" x14ac:dyDescent="0.2">
      <c r="A28" s="397"/>
      <c r="B28" s="97"/>
      <c r="C28" s="421"/>
      <c r="D28" s="422"/>
      <c r="E28" s="423"/>
      <c r="F28" s="421"/>
      <c r="G28" s="422"/>
      <c r="H28" s="423"/>
      <c r="I28" s="408"/>
      <c r="J28" s="408"/>
      <c r="K28" s="408"/>
      <c r="L28" s="408"/>
    </row>
    <row r="29" spans="1:12" s="64" customFormat="1" ht="15.75" customHeight="1" x14ac:dyDescent="0.2">
      <c r="A29" s="408"/>
      <c r="B29" s="97"/>
      <c r="C29" s="421"/>
      <c r="D29" s="422"/>
      <c r="E29" s="423"/>
      <c r="F29" s="421"/>
      <c r="G29" s="422"/>
      <c r="H29" s="423"/>
      <c r="I29" s="408"/>
      <c r="J29" s="408"/>
      <c r="K29" s="408"/>
      <c r="L29" s="408"/>
    </row>
    <row r="30" spans="1:12" s="64" customFormat="1" ht="15.75" customHeight="1" x14ac:dyDescent="0.2">
      <c r="A30" s="408"/>
      <c r="B30" s="97"/>
      <c r="C30" s="421"/>
      <c r="D30" s="422"/>
      <c r="E30" s="423"/>
      <c r="F30" s="421"/>
      <c r="G30" s="422"/>
      <c r="H30" s="423"/>
      <c r="I30" s="408"/>
      <c r="J30" s="408"/>
      <c r="K30" s="408"/>
      <c r="L30" s="408"/>
    </row>
    <row r="31" spans="1:12" s="64" customFormat="1" ht="15.75" customHeight="1" x14ac:dyDescent="0.2">
      <c r="A31" s="408"/>
      <c r="B31" s="97"/>
      <c r="C31" s="399"/>
      <c r="D31" s="414"/>
      <c r="E31" s="405"/>
      <c r="F31" s="405"/>
      <c r="G31" s="424"/>
      <c r="H31" s="408"/>
      <c r="I31" s="408"/>
      <c r="J31" s="408"/>
      <c r="K31" s="408"/>
      <c r="L31" s="408"/>
    </row>
    <row r="32" spans="1:12" s="64" customFormat="1" ht="15.75" customHeight="1" x14ac:dyDescent="0.25">
      <c r="A32" s="408"/>
      <c r="B32" s="400"/>
      <c r="C32" s="408"/>
      <c r="D32" s="408"/>
      <c r="E32" s="408"/>
      <c r="F32" s="408"/>
      <c r="G32" s="415"/>
      <c r="H32" s="408"/>
      <c r="I32" s="408"/>
      <c r="J32" s="408"/>
      <c r="K32" s="408"/>
      <c r="L32" s="408"/>
    </row>
    <row r="33" spans="1:12" s="64" customFormat="1" ht="15.75" customHeight="1" x14ac:dyDescent="0.2">
      <c r="A33" s="97"/>
      <c r="B33" s="408"/>
      <c r="C33" s="397"/>
      <c r="D33" s="408"/>
      <c r="E33" s="425"/>
      <c r="F33" s="425"/>
      <c r="G33" s="424"/>
      <c r="H33" s="408"/>
      <c r="I33" s="408"/>
      <c r="J33" s="408"/>
      <c r="K33" s="408"/>
      <c r="L33" s="408"/>
    </row>
    <row r="34" spans="1:12" s="64" customFormat="1" ht="15.75" customHeight="1" x14ac:dyDescent="0.2">
      <c r="A34" s="97"/>
      <c r="B34" s="399"/>
      <c r="C34" s="397"/>
      <c r="D34" s="426"/>
      <c r="E34" s="408"/>
      <c r="F34" s="408"/>
      <c r="G34" s="415"/>
      <c r="H34" s="408"/>
      <c r="I34" s="408"/>
      <c r="J34" s="408"/>
      <c r="K34" s="408"/>
      <c r="L34" s="408"/>
    </row>
    <row r="35" spans="1:12" s="156" customFormat="1" ht="15.75" customHeight="1" x14ac:dyDescent="0.25">
      <c r="A35" s="86"/>
      <c r="B35" s="427"/>
      <c r="C35" s="428"/>
      <c r="D35" s="429"/>
      <c r="E35" s="429"/>
      <c r="F35" s="429"/>
      <c r="G35" s="427"/>
      <c r="H35" s="429"/>
      <c r="I35" s="429"/>
      <c r="J35" s="427"/>
      <c r="K35" s="418"/>
      <c r="L35" s="418"/>
    </row>
    <row r="36" spans="1:12" s="157" customFormat="1" ht="15.75" customHeight="1" x14ac:dyDescent="0.25">
      <c r="A36" s="86"/>
      <c r="B36" s="401"/>
      <c r="C36" s="401"/>
      <c r="D36" s="430"/>
      <c r="E36" s="430"/>
      <c r="F36" s="408"/>
      <c r="G36" s="431"/>
      <c r="H36" s="408"/>
      <c r="I36" s="431"/>
      <c r="J36" s="432"/>
      <c r="K36" s="432"/>
      <c r="L36" s="432"/>
    </row>
    <row r="37" spans="1:12" s="157" customFormat="1" ht="15.75" customHeight="1" x14ac:dyDescent="0.25">
      <c r="A37" s="86"/>
      <c r="B37" s="432"/>
      <c r="C37" s="432"/>
      <c r="D37" s="430"/>
      <c r="E37" s="430"/>
      <c r="F37" s="430"/>
      <c r="G37" s="432"/>
      <c r="H37" s="430"/>
      <c r="I37" s="430"/>
      <c r="J37" s="432"/>
      <c r="K37" s="415"/>
      <c r="L37" s="433"/>
    </row>
    <row r="38" spans="1:12" s="157" customFormat="1" ht="15.75" customHeight="1" x14ac:dyDescent="0.25">
      <c r="A38" s="86"/>
      <c r="B38" s="401"/>
      <c r="C38" s="432"/>
      <c r="D38" s="430"/>
      <c r="E38" s="430"/>
      <c r="F38" s="430"/>
      <c r="G38" s="432"/>
      <c r="H38" s="430"/>
      <c r="I38" s="430"/>
      <c r="J38" s="432"/>
      <c r="K38" s="433"/>
      <c r="L38" s="433"/>
    </row>
    <row r="39" spans="1:12" s="157" customFormat="1" ht="15.75" customHeight="1" x14ac:dyDescent="0.25">
      <c r="A39" s="86"/>
      <c r="B39" s="401"/>
      <c r="C39" s="432"/>
      <c r="D39" s="430"/>
      <c r="E39" s="430"/>
      <c r="F39" s="430"/>
      <c r="G39" s="432"/>
      <c r="H39" s="430"/>
      <c r="I39" s="430"/>
      <c r="J39" s="432"/>
      <c r="K39" s="433"/>
      <c r="L39" s="433"/>
    </row>
    <row r="40" spans="1:12" s="157" customFormat="1" ht="15.75" customHeight="1" x14ac:dyDescent="0.25">
      <c r="A40" s="86"/>
      <c r="B40" s="401"/>
      <c r="C40" s="432"/>
      <c r="D40" s="430"/>
      <c r="E40" s="430"/>
      <c r="F40" s="430"/>
      <c r="G40" s="432"/>
      <c r="H40" s="430"/>
      <c r="I40" s="430"/>
      <c r="J40" s="432"/>
      <c r="K40" s="433"/>
      <c r="L40" s="433"/>
    </row>
    <row r="41" spans="1:12" s="157" customFormat="1" ht="15.75" customHeight="1" x14ac:dyDescent="0.2">
      <c r="A41" s="155"/>
      <c r="B41" s="401"/>
      <c r="C41" s="432"/>
      <c r="D41" s="432"/>
      <c r="E41" s="432"/>
      <c r="F41" s="432"/>
      <c r="G41" s="432"/>
      <c r="H41" s="432"/>
      <c r="I41" s="432"/>
      <c r="J41" s="432"/>
      <c r="K41" s="433"/>
      <c r="L41" s="433"/>
    </row>
    <row r="42" spans="1:12" s="157" customFormat="1" ht="15.75" customHeight="1" x14ac:dyDescent="0.2">
      <c r="A42" s="155"/>
      <c r="B42" s="401"/>
      <c r="C42" s="432"/>
      <c r="D42" s="432"/>
      <c r="E42" s="432"/>
      <c r="F42" s="432"/>
      <c r="G42" s="432"/>
      <c r="H42" s="432"/>
      <c r="I42" s="432"/>
      <c r="J42" s="432"/>
      <c r="K42" s="433"/>
      <c r="L42" s="433"/>
    </row>
    <row r="43" spans="1:12" s="157" customFormat="1" ht="15.75" customHeight="1" x14ac:dyDescent="0.25">
      <c r="A43" s="155"/>
      <c r="B43" s="434"/>
      <c r="C43" s="432"/>
      <c r="D43" s="432"/>
      <c r="E43" s="432"/>
      <c r="F43" s="432"/>
      <c r="G43" s="432"/>
      <c r="H43" s="432"/>
      <c r="I43" s="432"/>
      <c r="J43" s="432"/>
      <c r="K43" s="433"/>
      <c r="L43" s="433"/>
    </row>
    <row r="44" spans="1:12" s="64" customFormat="1" ht="15.75" customHeight="1" x14ac:dyDescent="0.25">
      <c r="A44" s="76"/>
      <c r="B44" s="395"/>
      <c r="C44" s="397"/>
      <c r="D44" s="397"/>
      <c r="E44" s="397"/>
      <c r="F44" s="397"/>
      <c r="G44" s="424"/>
      <c r="H44" s="408"/>
      <c r="I44" s="408"/>
      <c r="J44" s="408"/>
      <c r="K44" s="435"/>
      <c r="L44" s="435"/>
    </row>
    <row r="45" spans="1:12" s="64" customFormat="1" ht="15.75" customHeight="1" x14ac:dyDescent="0.25">
      <c r="A45" s="76"/>
      <c r="B45" s="400"/>
      <c r="C45" s="397"/>
      <c r="D45" s="397"/>
      <c r="E45" s="397"/>
      <c r="F45" s="397"/>
      <c r="G45" s="415"/>
      <c r="H45" s="408"/>
      <c r="I45" s="408"/>
      <c r="J45" s="408"/>
      <c r="K45" s="408"/>
      <c r="L45" s="436"/>
    </row>
    <row r="46" spans="1:12" s="64" customFormat="1" ht="15.75" customHeight="1" x14ac:dyDescent="0.2">
      <c r="A46" s="76"/>
      <c r="B46" s="408"/>
      <c r="C46" s="397"/>
      <c r="D46" s="397"/>
      <c r="E46" s="397"/>
      <c r="F46" s="397"/>
      <c r="G46" s="415"/>
      <c r="H46" s="408"/>
      <c r="I46" s="408"/>
      <c r="J46" s="408"/>
      <c r="K46" s="408"/>
      <c r="L46" s="437"/>
    </row>
    <row r="47" spans="1:12" s="64" customFormat="1" ht="15.75" customHeight="1" x14ac:dyDescent="0.2">
      <c r="A47" s="76"/>
      <c r="B47" s="76"/>
      <c r="C47" s="76"/>
      <c r="D47" s="76"/>
      <c r="E47" s="76"/>
      <c r="F47" s="76"/>
      <c r="G47" s="110"/>
      <c r="H47" s="97"/>
      <c r="I47" s="97"/>
      <c r="J47" s="97"/>
      <c r="K47" s="408"/>
      <c r="L47" s="437"/>
    </row>
    <row r="48" spans="1:12" s="64" customFormat="1" x14ac:dyDescent="0.2">
      <c r="G48" s="158"/>
      <c r="H48" s="98"/>
      <c r="I48" s="98"/>
      <c r="J48" s="98"/>
    </row>
    <row r="49" spans="1:12" s="64" customFormat="1" x14ac:dyDescent="0.2">
      <c r="G49" s="158"/>
      <c r="H49" s="98"/>
      <c r="I49" s="98"/>
      <c r="J49" s="98"/>
      <c r="K49" s="98"/>
      <c r="L49" s="98"/>
    </row>
    <row r="50" spans="1:12" s="64" customFormat="1" x14ac:dyDescent="0.2">
      <c r="B50" s="127" t="s">
        <v>2</v>
      </c>
      <c r="C50" s="128"/>
      <c r="D50" s="129"/>
      <c r="E50" s="130"/>
      <c r="G50" s="158"/>
      <c r="H50" s="98"/>
      <c r="I50" s="98"/>
      <c r="J50" s="98"/>
      <c r="K50" s="98"/>
      <c r="L50" s="98"/>
    </row>
    <row r="51" spans="1:12" s="64" customFormat="1" x14ac:dyDescent="0.2">
      <c r="B51" s="336" t="s">
        <v>3</v>
      </c>
      <c r="C51" s="878" t="s">
        <v>4</v>
      </c>
      <c r="D51" s="879"/>
      <c r="E51" s="879"/>
      <c r="G51" s="158"/>
      <c r="H51" s="98"/>
      <c r="I51" s="98"/>
      <c r="J51" s="98"/>
      <c r="K51" s="98"/>
      <c r="L51" s="98"/>
    </row>
    <row r="52" spans="1:12" s="64" customFormat="1" x14ac:dyDescent="0.2">
      <c r="B52" s="131"/>
      <c r="C52" s="880" t="s">
        <v>5</v>
      </c>
      <c r="D52" s="879"/>
      <c r="E52" s="879"/>
      <c r="G52" s="158"/>
      <c r="H52" s="98"/>
      <c r="I52" s="98"/>
      <c r="J52" s="98"/>
      <c r="K52" s="98"/>
      <c r="L52" s="98"/>
    </row>
    <row r="53" spans="1:12" s="64" customFormat="1" x14ac:dyDescent="0.2">
      <c r="A53" s="98"/>
      <c r="B53" s="132"/>
      <c r="C53" s="133" t="s">
        <v>6</v>
      </c>
      <c r="D53" s="151"/>
      <c r="E53" s="152"/>
      <c r="G53" s="158"/>
      <c r="H53" s="98"/>
      <c r="I53" s="98"/>
      <c r="J53" s="98"/>
      <c r="K53" s="98"/>
      <c r="L53" s="98"/>
    </row>
    <row r="54" spans="1:12" s="64" customFormat="1" x14ac:dyDescent="0.2">
      <c r="A54" s="98"/>
      <c r="B54" s="136"/>
      <c r="C54" s="337" t="s">
        <v>7</v>
      </c>
      <c r="D54" s="153"/>
      <c r="E54" s="154"/>
      <c r="G54" s="158"/>
      <c r="H54" s="98"/>
      <c r="I54" s="98"/>
      <c r="J54" s="98"/>
      <c r="K54" s="98"/>
      <c r="L54" s="98"/>
    </row>
    <row r="55" spans="1:12" s="64" customFormat="1" x14ac:dyDescent="0.2">
      <c r="A55" s="98"/>
      <c r="B55" s="139"/>
      <c r="C55" s="140" t="s">
        <v>68</v>
      </c>
      <c r="D55" s="151"/>
      <c r="E55" s="152"/>
      <c r="F55" s="98"/>
      <c r="G55" s="158"/>
      <c r="H55" s="98"/>
      <c r="I55" s="98"/>
      <c r="J55" s="98"/>
      <c r="K55" s="98"/>
      <c r="L55" s="98"/>
    </row>
    <row r="56" spans="1:12" s="64" customFormat="1" x14ac:dyDescent="0.2">
      <c r="A56" s="98"/>
      <c r="B56" s="143"/>
      <c r="C56" s="140" t="s">
        <v>16</v>
      </c>
      <c r="D56" s="151"/>
      <c r="E56" s="152"/>
      <c r="F56" s="98"/>
      <c r="G56" s="158"/>
      <c r="H56" s="98"/>
      <c r="I56" s="98"/>
      <c r="J56" s="98"/>
      <c r="K56" s="98"/>
      <c r="L56" s="98"/>
    </row>
    <row r="57" spans="1:12" s="64" customFormat="1" x14ac:dyDescent="0.2">
      <c r="A57" s="98"/>
      <c r="B57" s="98"/>
      <c r="C57" s="98"/>
      <c r="D57" s="98"/>
      <c r="E57" s="98"/>
      <c r="F57" s="98"/>
      <c r="G57" s="158"/>
      <c r="H57" s="98"/>
      <c r="I57" s="98"/>
      <c r="J57" s="98"/>
      <c r="K57" s="98"/>
      <c r="L57" s="98"/>
    </row>
    <row r="58" spans="1:12" s="64" customFormat="1" x14ac:dyDescent="0.2">
      <c r="A58" s="98"/>
      <c r="B58" s="98"/>
      <c r="C58" s="98"/>
      <c r="D58" s="98"/>
      <c r="E58" s="98"/>
      <c r="F58" s="98"/>
      <c r="G58" s="158"/>
      <c r="H58" s="98"/>
      <c r="I58" s="98"/>
      <c r="J58" s="98"/>
      <c r="K58" s="98"/>
      <c r="L58" s="98"/>
    </row>
    <row r="59" spans="1:12" s="64" customFormat="1" x14ac:dyDescent="0.2">
      <c r="A59" s="98"/>
      <c r="B59" s="98"/>
      <c r="C59" s="98"/>
      <c r="D59" s="98"/>
      <c r="E59" s="98"/>
      <c r="F59" s="98"/>
      <c r="G59" s="158"/>
      <c r="H59" s="98"/>
      <c r="I59" s="98"/>
      <c r="J59" s="98"/>
      <c r="K59" s="98"/>
      <c r="L59" s="98"/>
    </row>
    <row r="60" spans="1:12" s="64" customFormat="1" x14ac:dyDescent="0.2">
      <c r="A60" s="98"/>
      <c r="B60" s="98"/>
      <c r="C60" s="98"/>
      <c r="D60" s="98"/>
      <c r="E60" s="98"/>
      <c r="F60" s="98"/>
      <c r="G60" s="158"/>
      <c r="H60" s="98"/>
      <c r="I60" s="98"/>
      <c r="J60" s="98"/>
      <c r="K60" s="98"/>
      <c r="L60" s="98"/>
    </row>
    <row r="61" spans="1:12" s="64" customFormat="1" x14ac:dyDescent="0.2">
      <c r="A61" s="98"/>
      <c r="B61" s="98"/>
      <c r="C61" s="98"/>
      <c r="D61" s="98"/>
      <c r="E61" s="98"/>
      <c r="F61" s="98"/>
      <c r="G61" s="158"/>
      <c r="H61" s="98"/>
      <c r="I61" s="98"/>
      <c r="J61" s="98"/>
      <c r="K61" s="98"/>
      <c r="L61" s="98"/>
    </row>
    <row r="62" spans="1:12" s="64" customFormat="1" x14ac:dyDescent="0.2">
      <c r="A62" s="98"/>
      <c r="B62" s="98"/>
      <c r="C62" s="98"/>
      <c r="D62" s="98"/>
      <c r="E62" s="98"/>
      <c r="F62" s="98"/>
      <c r="G62" s="158"/>
      <c r="H62" s="98"/>
      <c r="I62" s="98"/>
      <c r="J62" s="98"/>
      <c r="K62" s="98"/>
      <c r="L62" s="98"/>
    </row>
  </sheetData>
  <mergeCells count="3">
    <mergeCell ref="I15:K15"/>
    <mergeCell ref="C51:E51"/>
    <mergeCell ref="C52:E52"/>
  </mergeCell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Q49"/>
  <sheetViews>
    <sheetView zoomScale="85" zoomScaleNormal="85" workbookViewId="0">
      <selection activeCell="D53" sqref="D53"/>
    </sheetView>
  </sheetViews>
  <sheetFormatPr defaultRowHeight="15" x14ac:dyDescent="0.2"/>
  <cols>
    <col min="1" max="1" width="3.6640625" style="60" customWidth="1"/>
    <col min="2" max="2" width="4.21875" style="5" customWidth="1"/>
    <col min="3" max="3" width="41.77734375" style="5" customWidth="1"/>
    <col min="4" max="4" width="10.44140625" style="5" customWidth="1"/>
    <col min="5" max="5" width="11.21875" style="5" customWidth="1"/>
    <col min="6" max="6" width="10.88671875" style="5" customWidth="1"/>
    <col min="7" max="7" width="10.44140625" style="5" customWidth="1"/>
    <col min="8" max="8" width="10.77734375" style="5" customWidth="1"/>
    <col min="9" max="16384" width="8.88671875" style="5"/>
  </cols>
  <sheetData>
    <row r="1" spans="1:17" s="11" customFormat="1" ht="23.25" x14ac:dyDescent="0.35">
      <c r="H1" s="188" t="s">
        <v>15</v>
      </c>
      <c r="J1" s="188"/>
    </row>
    <row r="2" spans="1:17" s="1" customFormat="1" x14ac:dyDescent="0.2">
      <c r="A2" s="11"/>
      <c r="B2" s="11"/>
      <c r="D2" s="11"/>
      <c r="E2" s="11"/>
      <c r="F2" s="11"/>
      <c r="G2" s="11"/>
      <c r="H2" s="32" t="s">
        <v>93</v>
      </c>
      <c r="J2" s="32"/>
      <c r="P2" s="11"/>
      <c r="Q2" s="11"/>
    </row>
    <row r="3" spans="1:17" s="1" customFormat="1" ht="15" customHeight="1" x14ac:dyDescent="0.3">
      <c r="A3" s="11"/>
      <c r="B3" s="11"/>
      <c r="C3" s="23" t="s">
        <v>94</v>
      </c>
      <c r="D3" s="11"/>
      <c r="E3" s="11"/>
      <c r="F3" s="11"/>
      <c r="G3" s="11"/>
      <c r="H3" s="11"/>
      <c r="I3" s="11"/>
      <c r="J3" s="11"/>
      <c r="K3" s="11"/>
      <c r="L3" s="11"/>
      <c r="M3" s="11"/>
      <c r="N3" s="11"/>
      <c r="O3" s="11"/>
      <c r="P3" s="11"/>
      <c r="Q3" s="11"/>
    </row>
    <row r="4" spans="1:17" s="1" customFormat="1" ht="14.25" customHeight="1" x14ac:dyDescent="0.3">
      <c r="A4" s="11"/>
      <c r="B4" s="11"/>
      <c r="C4" s="23"/>
      <c r="D4" s="11"/>
      <c r="E4" s="11"/>
      <c r="F4" s="11"/>
      <c r="G4" s="11"/>
      <c r="H4" s="11"/>
      <c r="I4" s="11"/>
      <c r="J4" s="11"/>
      <c r="K4" s="11"/>
      <c r="L4" s="11"/>
      <c r="M4" s="11"/>
      <c r="N4" s="11"/>
      <c r="O4" s="11"/>
      <c r="P4" s="11"/>
      <c r="Q4" s="11"/>
    </row>
    <row r="6" spans="1:17" x14ac:dyDescent="0.2">
      <c r="B6" s="5">
        <v>1</v>
      </c>
      <c r="C6" s="5" t="s">
        <v>163</v>
      </c>
    </row>
    <row r="7" spans="1:17" x14ac:dyDescent="0.2">
      <c r="B7" s="5">
        <v>2</v>
      </c>
      <c r="C7" s="5" t="s">
        <v>162</v>
      </c>
    </row>
    <row r="8" spans="1:17" x14ac:dyDescent="0.2">
      <c r="B8" s="5">
        <v>3</v>
      </c>
      <c r="C8" s="5" t="s">
        <v>46</v>
      </c>
    </row>
    <row r="9" spans="1:17" x14ac:dyDescent="0.2">
      <c r="B9" s="5">
        <v>4</v>
      </c>
      <c r="C9" s="5" t="s">
        <v>13</v>
      </c>
    </row>
    <row r="10" spans="1:17" x14ac:dyDescent="0.2">
      <c r="B10" s="5">
        <v>5</v>
      </c>
      <c r="C10" s="5" t="s">
        <v>22</v>
      </c>
    </row>
    <row r="11" spans="1:17" x14ac:dyDescent="0.2">
      <c r="B11" s="5">
        <v>6</v>
      </c>
      <c r="C11" s="5" t="s">
        <v>14</v>
      </c>
    </row>
    <row r="12" spans="1:17" x14ac:dyDescent="0.2">
      <c r="B12" s="5">
        <v>7</v>
      </c>
      <c r="C12" s="47" t="s">
        <v>26</v>
      </c>
    </row>
    <row r="13" spans="1:17" x14ac:dyDescent="0.2">
      <c r="B13" s="5">
        <v>8</v>
      </c>
      <c r="C13" s="5" t="s">
        <v>53</v>
      </c>
    </row>
    <row r="14" spans="1:17" x14ac:dyDescent="0.2">
      <c r="B14" s="5">
        <v>9</v>
      </c>
      <c r="C14" s="5" t="s">
        <v>23</v>
      </c>
    </row>
    <row r="15" spans="1:17" x14ac:dyDescent="0.2">
      <c r="B15" s="5">
        <v>10</v>
      </c>
      <c r="C15" s="5" t="s">
        <v>24</v>
      </c>
    </row>
    <row r="16" spans="1:17" x14ac:dyDescent="0.2">
      <c r="B16" s="5">
        <v>11</v>
      </c>
      <c r="C16" s="5" t="s">
        <v>48</v>
      </c>
    </row>
    <row r="17" spans="2:3" x14ac:dyDescent="0.2">
      <c r="B17" s="5">
        <v>12</v>
      </c>
      <c r="C17" s="5" t="s">
        <v>25</v>
      </c>
    </row>
    <row r="18" spans="2:3" x14ac:dyDescent="0.2">
      <c r="B18" s="5">
        <v>13</v>
      </c>
      <c r="C18" s="5" t="s">
        <v>99</v>
      </c>
    </row>
    <row r="19" spans="2:3" x14ac:dyDescent="0.2">
      <c r="B19" s="5">
        <v>14</v>
      </c>
      <c r="C19" s="5" t="s">
        <v>166</v>
      </c>
    </row>
    <row r="20" spans="2:3" x14ac:dyDescent="0.2">
      <c r="B20" s="5">
        <v>15</v>
      </c>
      <c r="C20" s="5" t="s">
        <v>146</v>
      </c>
    </row>
    <row r="21" spans="2:3" x14ac:dyDescent="0.2">
      <c r="B21" s="5">
        <v>16</v>
      </c>
      <c r="C21" s="105" t="s">
        <v>165</v>
      </c>
    </row>
    <row r="22" spans="2:3" x14ac:dyDescent="0.2">
      <c r="B22" s="5">
        <v>17</v>
      </c>
      <c r="C22" s="157" t="s">
        <v>392</v>
      </c>
    </row>
    <row r="23" spans="2:3" x14ac:dyDescent="0.2">
      <c r="B23" s="5">
        <v>18</v>
      </c>
      <c r="C23" s="5" t="s">
        <v>390</v>
      </c>
    </row>
    <row r="24" spans="2:3" x14ac:dyDescent="0.2">
      <c r="B24" s="5">
        <v>19</v>
      </c>
      <c r="C24" s="157" t="s">
        <v>393</v>
      </c>
    </row>
    <row r="25" spans="2:3" x14ac:dyDescent="0.2">
      <c r="B25" s="5">
        <v>20</v>
      </c>
      <c r="C25" s="5" t="s">
        <v>394</v>
      </c>
    </row>
    <row r="26" spans="2:3" x14ac:dyDescent="0.2">
      <c r="B26" s="5">
        <v>21</v>
      </c>
      <c r="C26" s="157" t="s">
        <v>391</v>
      </c>
    </row>
    <row r="27" spans="2:3" x14ac:dyDescent="0.2">
      <c r="B27" s="5">
        <v>22</v>
      </c>
      <c r="C27" s="5" t="s">
        <v>29</v>
      </c>
    </row>
    <row r="28" spans="2:3" x14ac:dyDescent="0.2">
      <c r="B28" s="5">
        <v>23</v>
      </c>
      <c r="C28" s="5" t="s">
        <v>87</v>
      </c>
    </row>
    <row r="29" spans="2:3" x14ac:dyDescent="0.2">
      <c r="B29" s="5">
        <v>24</v>
      </c>
      <c r="C29" s="5" t="s">
        <v>387</v>
      </c>
    </row>
    <row r="30" spans="2:3" x14ac:dyDescent="0.2">
      <c r="B30" s="5">
        <v>25</v>
      </c>
      <c r="C30" s="5" t="s">
        <v>95</v>
      </c>
    </row>
    <row r="31" spans="2:3" x14ac:dyDescent="0.2">
      <c r="B31" s="5">
        <v>25</v>
      </c>
      <c r="C31" s="5" t="s">
        <v>60</v>
      </c>
    </row>
    <row r="32" spans="2:3" x14ac:dyDescent="0.2">
      <c r="B32" s="5">
        <v>26</v>
      </c>
      <c r="C32" s="5" t="s">
        <v>45</v>
      </c>
    </row>
    <row r="33" spans="2:3" x14ac:dyDescent="0.2">
      <c r="B33" s="5">
        <v>27</v>
      </c>
      <c r="C33" s="63" t="s">
        <v>100</v>
      </c>
    </row>
    <row r="34" spans="2:3" x14ac:dyDescent="0.2">
      <c r="B34" s="5">
        <v>28</v>
      </c>
      <c r="C34" s="63" t="s">
        <v>205</v>
      </c>
    </row>
    <row r="35" spans="2:3" x14ac:dyDescent="0.2">
      <c r="B35" s="5">
        <v>29</v>
      </c>
      <c r="C35" s="63" t="s">
        <v>206</v>
      </c>
    </row>
    <row r="36" spans="2:3" x14ac:dyDescent="0.2">
      <c r="B36" s="5">
        <v>30</v>
      </c>
      <c r="C36" s="226" t="s">
        <v>304</v>
      </c>
    </row>
    <row r="37" spans="2:3" x14ac:dyDescent="0.2">
      <c r="B37" s="5">
        <v>31</v>
      </c>
      <c r="C37" s="226" t="s">
        <v>486</v>
      </c>
    </row>
    <row r="38" spans="2:3" x14ac:dyDescent="0.2">
      <c r="C38" s="226"/>
    </row>
    <row r="39" spans="2:3" x14ac:dyDescent="0.2">
      <c r="C39" s="226"/>
    </row>
    <row r="40" spans="2:3" x14ac:dyDescent="0.2">
      <c r="C40" s="226"/>
    </row>
    <row r="41" spans="2:3" x14ac:dyDescent="0.2">
      <c r="C41" s="226"/>
    </row>
    <row r="42" spans="2:3" x14ac:dyDescent="0.2">
      <c r="C42" s="226"/>
    </row>
    <row r="43" spans="2:3" ht="15.75" thickBot="1" x14ac:dyDescent="0.25">
      <c r="B43" s="2" t="s">
        <v>2</v>
      </c>
      <c r="C43" s="2"/>
    </row>
    <row r="44" spans="2:3" x14ac:dyDescent="0.2">
      <c r="B44" s="12" t="s">
        <v>3</v>
      </c>
      <c r="C44" s="19" t="s">
        <v>4</v>
      </c>
    </row>
    <row r="45" spans="2:3" x14ac:dyDescent="0.2">
      <c r="B45" s="13"/>
      <c r="C45" s="20" t="s">
        <v>5</v>
      </c>
    </row>
    <row r="46" spans="2:3" x14ac:dyDescent="0.2">
      <c r="B46" s="14"/>
      <c r="C46" s="37" t="s">
        <v>6</v>
      </c>
    </row>
    <row r="47" spans="2:3" x14ac:dyDescent="0.2">
      <c r="B47" s="15"/>
      <c r="C47" s="20" t="s">
        <v>7</v>
      </c>
    </row>
    <row r="48" spans="2:3" x14ac:dyDescent="0.2">
      <c r="B48" s="16"/>
      <c r="C48" s="20" t="s">
        <v>145</v>
      </c>
    </row>
    <row r="49" spans="2:3" ht="15.75" thickBot="1" x14ac:dyDescent="0.25">
      <c r="B49" s="17"/>
      <c r="C49" s="21" t="s">
        <v>16</v>
      </c>
    </row>
  </sheetData>
  <phoneticPr fontId="2" type="noConversion"/>
  <pageMargins left="0.75" right="0.75" top="1" bottom="1" header="0.5" footer="0.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47"/>
  <sheetViews>
    <sheetView workbookViewId="0">
      <selection activeCell="K16" sqref="K16"/>
    </sheetView>
  </sheetViews>
  <sheetFormatPr defaultRowHeight="15" x14ac:dyDescent="0.2"/>
  <cols>
    <col min="1" max="1" width="17.44140625" customWidth="1"/>
    <col min="2" max="2" width="26.109375" customWidth="1"/>
    <col min="3" max="5" width="12.88671875" customWidth="1"/>
  </cols>
  <sheetData>
    <row r="1" spans="1:7" s="227" customFormat="1" ht="118.5" customHeight="1" x14ac:dyDescent="0.25">
      <c r="A1" s="229" t="s">
        <v>306</v>
      </c>
      <c r="B1" s="229" t="s">
        <v>307</v>
      </c>
      <c r="C1" s="229" t="s">
        <v>308</v>
      </c>
      <c r="D1" s="229" t="s">
        <v>309</v>
      </c>
      <c r="E1" s="233" t="s">
        <v>224</v>
      </c>
      <c r="F1" s="229" t="s">
        <v>310</v>
      </c>
      <c r="G1" s="229" t="s">
        <v>311</v>
      </c>
    </row>
    <row r="2" spans="1:7" x14ac:dyDescent="0.2">
      <c r="A2" s="228" t="s">
        <v>225</v>
      </c>
      <c r="B2" s="228" t="s">
        <v>226</v>
      </c>
      <c r="C2" s="228">
        <v>-3679.069</v>
      </c>
      <c r="D2" s="228">
        <v>-3876.52</v>
      </c>
      <c r="E2" s="232">
        <v>209.33</v>
      </c>
      <c r="F2" s="228"/>
      <c r="G2" s="228">
        <v>92.81</v>
      </c>
    </row>
    <row r="3" spans="1:7" x14ac:dyDescent="0.2">
      <c r="A3" s="228" t="s">
        <v>227</v>
      </c>
      <c r="B3" s="228" t="s">
        <v>228</v>
      </c>
      <c r="C3" s="228">
        <v>-1321.6959999999999</v>
      </c>
      <c r="D3" s="228">
        <v>-1434.11</v>
      </c>
      <c r="E3" s="232">
        <v>106.69</v>
      </c>
      <c r="F3" s="228"/>
      <c r="G3" s="228">
        <v>45.94</v>
      </c>
    </row>
    <row r="4" spans="1:7" x14ac:dyDescent="0.2">
      <c r="A4" s="228" t="s">
        <v>229</v>
      </c>
      <c r="B4" s="228" t="s">
        <v>159</v>
      </c>
      <c r="C4" s="228">
        <v>-1127.7929999999999</v>
      </c>
      <c r="D4" s="228">
        <v>-1207.43</v>
      </c>
      <c r="E4" s="232">
        <v>87.99</v>
      </c>
      <c r="F4" s="228"/>
      <c r="G4" s="228">
        <v>34.15</v>
      </c>
    </row>
    <row r="5" spans="1:7" x14ac:dyDescent="0.2">
      <c r="A5" s="228" t="s">
        <v>230</v>
      </c>
      <c r="B5" s="228" t="s">
        <v>312</v>
      </c>
      <c r="C5" s="228">
        <v>-2568.346</v>
      </c>
      <c r="D5" s="228">
        <v>-2920.61</v>
      </c>
      <c r="E5" s="232">
        <v>232.92</v>
      </c>
      <c r="F5" s="228"/>
      <c r="G5" s="228">
        <v>96.43</v>
      </c>
    </row>
    <row r="6" spans="1:7" x14ac:dyDescent="0.2">
      <c r="A6" s="228" t="s">
        <v>231</v>
      </c>
      <c r="B6" s="228" t="s">
        <v>232</v>
      </c>
      <c r="C6" s="228">
        <v>-918.4</v>
      </c>
      <c r="D6" s="228">
        <v>-993.05399999999997</v>
      </c>
      <c r="E6" s="232">
        <v>48.45</v>
      </c>
      <c r="F6" s="228"/>
      <c r="G6" s="228">
        <v>19.535</v>
      </c>
    </row>
    <row r="7" spans="1:7" x14ac:dyDescent="0.2">
      <c r="A7" s="228" t="s">
        <v>233</v>
      </c>
      <c r="B7" s="228" t="s">
        <v>234</v>
      </c>
      <c r="C7" s="228">
        <v>-833.50599999999997</v>
      </c>
      <c r="D7" s="228">
        <v>-924.54</v>
      </c>
      <c r="E7" s="232">
        <v>63.18</v>
      </c>
      <c r="F7" s="228"/>
      <c r="G7" s="228">
        <v>24.63</v>
      </c>
    </row>
    <row r="8" spans="1:7" x14ac:dyDescent="0.2">
      <c r="A8" s="228" t="s">
        <v>313</v>
      </c>
      <c r="B8" s="228" t="s">
        <v>235</v>
      </c>
      <c r="C8" s="228">
        <v>-553.54</v>
      </c>
      <c r="D8" s="228">
        <v>-542.83000000000004</v>
      </c>
      <c r="E8" s="232">
        <v>-53.1</v>
      </c>
      <c r="F8" s="228"/>
      <c r="G8" s="228">
        <v>0</v>
      </c>
    </row>
    <row r="9" spans="1:7" x14ac:dyDescent="0.2">
      <c r="A9" s="228" t="s">
        <v>236</v>
      </c>
      <c r="B9" s="228" t="s">
        <v>159</v>
      </c>
      <c r="C9" s="228">
        <v>-1128.8420000000001</v>
      </c>
      <c r="D9" s="228">
        <v>-1207.3699999999999</v>
      </c>
      <c r="E9" s="232">
        <v>91.71</v>
      </c>
      <c r="F9" s="228"/>
      <c r="G9" s="228">
        <v>36.933999999999997</v>
      </c>
    </row>
    <row r="10" spans="1:7" x14ac:dyDescent="0.2">
      <c r="A10" s="228" t="s">
        <v>237</v>
      </c>
      <c r="B10" s="228" t="s">
        <v>238</v>
      </c>
      <c r="C10" s="228">
        <v>-742.98500000000001</v>
      </c>
      <c r="D10" s="228">
        <v>-938.39</v>
      </c>
      <c r="E10" s="232">
        <v>193.3</v>
      </c>
      <c r="F10" s="228"/>
      <c r="G10" s="228">
        <v>66.09</v>
      </c>
    </row>
    <row r="11" spans="1:7" x14ac:dyDescent="0.2">
      <c r="A11" s="228" t="s">
        <v>239</v>
      </c>
      <c r="B11" s="228" t="s">
        <v>240</v>
      </c>
      <c r="C11" s="228">
        <v>-2199.7840000000001</v>
      </c>
      <c r="D11" s="228">
        <v>-2316.62</v>
      </c>
      <c r="E11" s="232">
        <v>120.5</v>
      </c>
      <c r="F11" s="228"/>
      <c r="G11" s="228">
        <v>59.11</v>
      </c>
    </row>
    <row r="12" spans="1:7" x14ac:dyDescent="0.2">
      <c r="A12" s="228" t="s">
        <v>241</v>
      </c>
      <c r="B12" s="228" t="s">
        <v>160</v>
      </c>
      <c r="C12" s="228">
        <v>-603.48699999999997</v>
      </c>
      <c r="D12" s="228">
        <v>-635.08900000000006</v>
      </c>
      <c r="E12" s="232">
        <v>38.21</v>
      </c>
      <c r="F12" s="228"/>
      <c r="G12" s="228">
        <v>16.763999999999999</v>
      </c>
    </row>
    <row r="13" spans="1:7" x14ac:dyDescent="0.2">
      <c r="A13" s="228" t="s">
        <v>242</v>
      </c>
      <c r="B13" s="228" t="s">
        <v>123</v>
      </c>
      <c r="C13" s="228">
        <v>-394.375</v>
      </c>
      <c r="D13" s="228">
        <v>-393.51</v>
      </c>
      <c r="E13" s="232">
        <v>213.79</v>
      </c>
      <c r="F13" s="228"/>
      <c r="G13" s="228">
        <v>24789.200000000001</v>
      </c>
    </row>
    <row r="14" spans="1:7" x14ac:dyDescent="0.2">
      <c r="A14" s="228" t="s">
        <v>243</v>
      </c>
      <c r="B14" s="228" t="s">
        <v>244</v>
      </c>
      <c r="C14" s="228">
        <v>-4034.0239999999999</v>
      </c>
      <c r="D14" s="228">
        <v>-4361.66</v>
      </c>
      <c r="E14" s="232">
        <v>221.3</v>
      </c>
      <c r="F14" s="228"/>
      <c r="G14" s="228">
        <v>108.5</v>
      </c>
    </row>
    <row r="15" spans="1:7" x14ac:dyDescent="0.2">
      <c r="A15" s="228" t="s">
        <v>245</v>
      </c>
      <c r="B15" s="228" t="s">
        <v>246</v>
      </c>
      <c r="C15" s="228">
        <v>-1460.883</v>
      </c>
      <c r="D15" s="228">
        <v>-1547.75</v>
      </c>
      <c r="E15" s="232">
        <v>67.86</v>
      </c>
      <c r="F15" s="228"/>
      <c r="G15" s="228">
        <v>31.47</v>
      </c>
    </row>
    <row r="16" spans="1:7" x14ac:dyDescent="0.2">
      <c r="A16" s="228" t="s">
        <v>247</v>
      </c>
      <c r="B16" s="228" t="s">
        <v>248</v>
      </c>
      <c r="C16" s="228">
        <v>-527.9</v>
      </c>
      <c r="D16" s="228">
        <v>-677.14</v>
      </c>
      <c r="E16" s="232">
        <v>-56.9</v>
      </c>
      <c r="F16" s="228"/>
      <c r="G16" s="228">
        <v>0</v>
      </c>
    </row>
    <row r="17" spans="1:7" x14ac:dyDescent="0.2">
      <c r="A17" s="228" t="s">
        <v>249</v>
      </c>
      <c r="B17" s="228" t="s">
        <v>232</v>
      </c>
      <c r="C17" s="228">
        <v>-922</v>
      </c>
      <c r="D17" s="228">
        <v>-1000.585</v>
      </c>
      <c r="E17" s="232">
        <v>35.270000000000003</v>
      </c>
      <c r="F17" s="228"/>
      <c r="G17" s="228">
        <v>17.760000000000002</v>
      </c>
    </row>
    <row r="18" spans="1:7" x14ac:dyDescent="0.2">
      <c r="A18" s="228" t="s">
        <v>250</v>
      </c>
      <c r="B18" s="228" t="s">
        <v>251</v>
      </c>
      <c r="C18" s="228">
        <v>-3036.5540000000001</v>
      </c>
      <c r="D18" s="228">
        <v>-3210.76</v>
      </c>
      <c r="E18" s="232">
        <v>143.09</v>
      </c>
      <c r="F18" s="228"/>
      <c r="G18" s="228">
        <v>66.09</v>
      </c>
    </row>
    <row r="19" spans="1:7" x14ac:dyDescent="0.2">
      <c r="A19" s="228" t="s">
        <v>252</v>
      </c>
      <c r="B19" s="228" t="s">
        <v>253</v>
      </c>
      <c r="C19" s="228">
        <v>-2161.672</v>
      </c>
      <c r="D19" s="228">
        <v>-2324.48</v>
      </c>
      <c r="E19" s="232">
        <v>155.18</v>
      </c>
      <c r="F19" s="228"/>
      <c r="G19" s="228">
        <v>64.34</v>
      </c>
    </row>
    <row r="20" spans="1:7" x14ac:dyDescent="0.2">
      <c r="A20" s="228" t="s">
        <v>254</v>
      </c>
      <c r="B20" s="228" t="s">
        <v>255</v>
      </c>
      <c r="C20" s="228">
        <v>-2871.24</v>
      </c>
      <c r="D20" s="228">
        <v>-3388.7</v>
      </c>
      <c r="E20" s="232">
        <v>372</v>
      </c>
      <c r="F20" s="228"/>
      <c r="G20" s="228">
        <v>614.34</v>
      </c>
    </row>
    <row r="21" spans="1:7" x14ac:dyDescent="0.2">
      <c r="A21" s="228" t="s">
        <v>256</v>
      </c>
      <c r="B21" s="228" t="s">
        <v>257</v>
      </c>
      <c r="C21" s="228">
        <v>-2051.3249999999998</v>
      </c>
      <c r="D21" s="228">
        <v>-2170.37</v>
      </c>
      <c r="E21" s="232">
        <v>95.19</v>
      </c>
      <c r="F21" s="228"/>
      <c r="G21" s="228">
        <v>43.79</v>
      </c>
    </row>
    <row r="22" spans="1:7" x14ac:dyDescent="0.2">
      <c r="A22" s="228" t="s">
        <v>258</v>
      </c>
      <c r="B22" s="228" t="s">
        <v>259</v>
      </c>
      <c r="C22" s="228">
        <v>-1154.8889999999999</v>
      </c>
      <c r="D22" s="228">
        <v>-1293.1279999999999</v>
      </c>
      <c r="E22" s="232">
        <v>68.44</v>
      </c>
      <c r="F22" s="228"/>
      <c r="G22" s="228">
        <v>31.956</v>
      </c>
    </row>
    <row r="23" spans="1:7" x14ac:dyDescent="0.2">
      <c r="A23" s="228" t="s">
        <v>260</v>
      </c>
      <c r="B23" s="228" t="s">
        <v>261</v>
      </c>
      <c r="C23" s="228">
        <v>-1797.1969999999999</v>
      </c>
      <c r="D23" s="228">
        <v>-2022.6279999999999</v>
      </c>
      <c r="E23" s="232">
        <v>194.14</v>
      </c>
      <c r="F23" s="228"/>
      <c r="G23" s="228">
        <v>74.69</v>
      </c>
    </row>
    <row r="24" spans="1:7" x14ac:dyDescent="0.2">
      <c r="A24" s="228" t="s">
        <v>262</v>
      </c>
      <c r="B24" s="228" t="s">
        <v>263</v>
      </c>
      <c r="C24" s="228">
        <v>0</v>
      </c>
      <c r="D24" s="228">
        <v>0</v>
      </c>
      <c r="E24" s="232">
        <v>0</v>
      </c>
      <c r="F24" s="228"/>
      <c r="G24" s="228">
        <v>0</v>
      </c>
    </row>
    <row r="25" spans="1:7" x14ac:dyDescent="0.2">
      <c r="A25" s="228" t="s">
        <v>264</v>
      </c>
      <c r="B25" s="228" t="s">
        <v>265</v>
      </c>
      <c r="C25" s="228">
        <v>-623.16999999999996</v>
      </c>
      <c r="D25" s="228">
        <v>-699.65</v>
      </c>
      <c r="E25" s="232">
        <v>187</v>
      </c>
      <c r="F25" s="228"/>
      <c r="G25" s="228">
        <v>0</v>
      </c>
    </row>
    <row r="26" spans="1:7" x14ac:dyDescent="0.2">
      <c r="A26" s="228" t="s">
        <v>266</v>
      </c>
      <c r="B26" s="228" t="s">
        <v>267</v>
      </c>
      <c r="C26" s="228">
        <v>-586.85</v>
      </c>
      <c r="D26" s="228">
        <v>-691.99</v>
      </c>
      <c r="E26" s="232">
        <v>91.2</v>
      </c>
      <c r="F26" s="228"/>
      <c r="G26" s="228">
        <v>0</v>
      </c>
    </row>
    <row r="27" spans="1:7" x14ac:dyDescent="0.2">
      <c r="A27" s="228" t="s">
        <v>268</v>
      </c>
      <c r="B27" s="228" t="s">
        <v>269</v>
      </c>
      <c r="C27" s="228">
        <v>-4203.4250000000002</v>
      </c>
      <c r="D27" s="228">
        <v>-4529.6000000000004</v>
      </c>
      <c r="E27" s="232">
        <v>299.52999999999997</v>
      </c>
      <c r="F27" s="228"/>
      <c r="G27" s="228">
        <v>122.58</v>
      </c>
    </row>
    <row r="28" spans="1:7" x14ac:dyDescent="0.2">
      <c r="A28" s="228" t="s">
        <v>270</v>
      </c>
      <c r="B28" s="228" t="s">
        <v>271</v>
      </c>
      <c r="C28" s="228">
        <v>-5864.1660000000002</v>
      </c>
      <c r="D28" s="228">
        <v>-6514.86</v>
      </c>
      <c r="E28" s="232">
        <v>503.67</v>
      </c>
      <c r="F28" s="228"/>
      <c r="G28" s="228">
        <v>211.1</v>
      </c>
    </row>
    <row r="29" spans="1:7" x14ac:dyDescent="0.2">
      <c r="A29" s="228" t="s">
        <v>272</v>
      </c>
      <c r="B29" s="228" t="s">
        <v>240</v>
      </c>
      <c r="C29" s="228">
        <v>-2199.7840000000001</v>
      </c>
      <c r="D29" s="228">
        <v>-2316.62</v>
      </c>
      <c r="E29" s="232">
        <v>120.5</v>
      </c>
      <c r="F29" s="228"/>
      <c r="G29" s="228">
        <v>59.11</v>
      </c>
    </row>
    <row r="30" spans="1:7" x14ac:dyDescent="0.2">
      <c r="A30" s="228" t="s">
        <v>273</v>
      </c>
      <c r="B30" s="228" t="s">
        <v>124</v>
      </c>
      <c r="C30" s="228">
        <v>-1029.48</v>
      </c>
      <c r="D30" s="228">
        <v>-1113.28</v>
      </c>
      <c r="E30" s="232">
        <v>65.09</v>
      </c>
      <c r="F30" s="228"/>
      <c r="G30" s="228">
        <v>28.018000000000001</v>
      </c>
    </row>
    <row r="31" spans="1:7" x14ac:dyDescent="0.2">
      <c r="A31" s="228" t="s">
        <v>274</v>
      </c>
      <c r="B31" s="228" t="s">
        <v>275</v>
      </c>
      <c r="C31" s="228">
        <v>-589.18100000000004</v>
      </c>
      <c r="D31" s="228">
        <v>-790.65</v>
      </c>
      <c r="E31" s="232">
        <v>164.01</v>
      </c>
      <c r="F31" s="228"/>
      <c r="G31" s="228">
        <v>62.93</v>
      </c>
    </row>
    <row r="32" spans="1:7" x14ac:dyDescent="0.2">
      <c r="A32" s="228" t="s">
        <v>276</v>
      </c>
      <c r="B32" s="228" t="s">
        <v>277</v>
      </c>
      <c r="C32" s="228">
        <v>-4339.4030000000002</v>
      </c>
      <c r="D32" s="228">
        <v>-4566.79</v>
      </c>
      <c r="E32" s="232">
        <v>253.13</v>
      </c>
      <c r="F32" s="228"/>
      <c r="G32" s="228">
        <v>104.4</v>
      </c>
    </row>
    <row r="33" spans="1:7" x14ac:dyDescent="0.2">
      <c r="A33" s="228" t="s">
        <v>314</v>
      </c>
      <c r="B33" s="228" t="s">
        <v>278</v>
      </c>
      <c r="C33" s="228">
        <v>-454.8</v>
      </c>
      <c r="D33" s="228">
        <v>-466.85</v>
      </c>
      <c r="E33" s="232">
        <v>-138</v>
      </c>
      <c r="F33" s="228"/>
      <c r="G33" s="228">
        <v>0</v>
      </c>
    </row>
    <row r="34" spans="1:7" x14ac:dyDescent="0.2">
      <c r="A34" s="228" t="s">
        <v>279</v>
      </c>
      <c r="B34" s="228" t="s">
        <v>280</v>
      </c>
      <c r="C34" s="228">
        <v>-1361.6</v>
      </c>
      <c r="D34" s="228">
        <v>-1498.29</v>
      </c>
      <c r="E34" s="232">
        <v>0</v>
      </c>
      <c r="F34" s="228"/>
      <c r="G34" s="228">
        <v>48.7</v>
      </c>
    </row>
    <row r="35" spans="1:7" x14ac:dyDescent="0.2">
      <c r="A35" s="228" t="s">
        <v>281</v>
      </c>
      <c r="B35" s="228" t="s">
        <v>282</v>
      </c>
      <c r="C35" s="228">
        <v>-2143.174</v>
      </c>
      <c r="D35" s="228">
        <v>-2262.7049999999999</v>
      </c>
      <c r="E35" s="232">
        <v>102.51</v>
      </c>
      <c r="F35" s="228"/>
      <c r="G35" s="228">
        <v>51.36</v>
      </c>
    </row>
    <row r="36" spans="1:7" x14ac:dyDescent="0.2">
      <c r="A36" s="230" t="s">
        <v>283</v>
      </c>
      <c r="B36" s="228" t="s">
        <v>284</v>
      </c>
      <c r="C36" s="228">
        <v>-1723.7460000000001</v>
      </c>
      <c r="D36" s="228">
        <v>-1977.26</v>
      </c>
      <c r="E36" s="232">
        <v>195.62</v>
      </c>
      <c r="F36" s="228"/>
      <c r="G36" s="228">
        <v>75.47</v>
      </c>
    </row>
    <row r="37" spans="1:7" x14ac:dyDescent="0.2">
      <c r="A37" s="228" t="s">
        <v>285</v>
      </c>
      <c r="B37" s="228" t="s">
        <v>286</v>
      </c>
      <c r="C37" s="228">
        <v>-157.328</v>
      </c>
      <c r="D37" s="228">
        <v>-230.02500000000001</v>
      </c>
      <c r="E37" s="232">
        <v>-10.71</v>
      </c>
      <c r="F37" s="228"/>
      <c r="G37" s="228">
        <v>0</v>
      </c>
    </row>
    <row r="38" spans="1:7" x14ac:dyDescent="0.2">
      <c r="A38" s="228" t="s">
        <v>287</v>
      </c>
      <c r="B38" s="228" t="s">
        <v>125</v>
      </c>
      <c r="C38" s="228">
        <v>-569.19600000000003</v>
      </c>
      <c r="D38" s="228">
        <v>-601.49</v>
      </c>
      <c r="E38" s="232">
        <v>26.94</v>
      </c>
      <c r="F38" s="228"/>
      <c r="G38" s="228">
        <v>11.247999999999999</v>
      </c>
    </row>
    <row r="39" spans="1:7" x14ac:dyDescent="0.2">
      <c r="A39" s="228" t="s">
        <v>288</v>
      </c>
      <c r="B39" s="228" t="s">
        <v>289</v>
      </c>
      <c r="C39" s="228">
        <v>-898.40800000000002</v>
      </c>
      <c r="D39" s="228">
        <v>-986.08500000000004</v>
      </c>
      <c r="E39" s="232">
        <v>83.39</v>
      </c>
      <c r="F39" s="228"/>
      <c r="G39" s="228">
        <v>33.055999999999997</v>
      </c>
    </row>
    <row r="40" spans="1:7" x14ac:dyDescent="0.2">
      <c r="A40" s="228" t="s">
        <v>290</v>
      </c>
      <c r="B40" s="228" t="s">
        <v>291</v>
      </c>
      <c r="C40" s="228">
        <v>-1544.9549999999999</v>
      </c>
      <c r="D40" s="228">
        <v>-1628.65</v>
      </c>
      <c r="E40" s="232">
        <v>87.45</v>
      </c>
      <c r="F40" s="228"/>
      <c r="G40" s="228">
        <v>40.08</v>
      </c>
    </row>
    <row r="41" spans="1:7" x14ac:dyDescent="0.2">
      <c r="A41" s="231" t="s">
        <v>292</v>
      </c>
      <c r="B41" s="231" t="s">
        <v>293</v>
      </c>
      <c r="C41" s="232">
        <v>-856.28</v>
      </c>
      <c r="D41" s="232">
        <v>-910.1</v>
      </c>
      <c r="E41" s="232">
        <v>41.46</v>
      </c>
      <c r="F41" s="232"/>
      <c r="G41" s="228"/>
    </row>
    <row r="42" spans="1:7" x14ac:dyDescent="0.2">
      <c r="A42" s="228" t="s">
        <v>294</v>
      </c>
      <c r="B42" s="228" t="s">
        <v>295</v>
      </c>
      <c r="C42" s="228">
        <v>-2174.86</v>
      </c>
      <c r="D42" s="228">
        <v>-2299.3200000000002</v>
      </c>
      <c r="E42" s="232">
        <v>80.63</v>
      </c>
      <c r="F42" s="228"/>
      <c r="G42" s="228">
        <v>39.71</v>
      </c>
    </row>
    <row r="43" spans="1:7" x14ac:dyDescent="0.2">
      <c r="A43" s="228" t="s">
        <v>296</v>
      </c>
      <c r="B43" s="228" t="s">
        <v>297</v>
      </c>
      <c r="C43" s="228">
        <v>-5536.0479999999998</v>
      </c>
      <c r="D43" s="228">
        <v>-5915.9</v>
      </c>
      <c r="E43" s="232">
        <v>260.83</v>
      </c>
      <c r="F43" s="228"/>
      <c r="G43" s="228">
        <v>136.25</v>
      </c>
    </row>
    <row r="44" spans="1:7" x14ac:dyDescent="0.2">
      <c r="A44" s="228" t="s">
        <v>298</v>
      </c>
      <c r="B44" s="228" t="s">
        <v>299</v>
      </c>
      <c r="C44" s="228">
        <v>-11627.91</v>
      </c>
      <c r="D44" s="228">
        <v>-12.355799999999999</v>
      </c>
      <c r="E44" s="232">
        <v>548.9</v>
      </c>
      <c r="F44" s="228"/>
      <c r="G44" s="228">
        <v>272.92</v>
      </c>
    </row>
    <row r="45" spans="1:7" x14ac:dyDescent="0.2">
      <c r="A45" s="228" t="s">
        <v>300</v>
      </c>
      <c r="B45" s="228" t="s">
        <v>159</v>
      </c>
      <c r="C45" s="228">
        <v>-1125.54</v>
      </c>
      <c r="D45" s="228">
        <v>0</v>
      </c>
      <c r="E45" s="232">
        <v>0</v>
      </c>
      <c r="F45" s="228"/>
      <c r="G45" s="228">
        <v>37.630000000000003</v>
      </c>
    </row>
    <row r="46" spans="1:7" x14ac:dyDescent="0.2">
      <c r="A46" s="228" t="s">
        <v>301</v>
      </c>
      <c r="B46" s="228" t="s">
        <v>302</v>
      </c>
      <c r="C46" s="228">
        <v>-228.56899999999999</v>
      </c>
      <c r="D46" s="228">
        <v>-241.81399999999999</v>
      </c>
      <c r="E46" s="232">
        <v>188.72</v>
      </c>
      <c r="F46" s="228">
        <v>40.65</v>
      </c>
      <c r="G46" s="228">
        <v>24789.200000000001</v>
      </c>
    </row>
    <row r="47" spans="1:7" x14ac:dyDescent="0.2">
      <c r="A47" s="228" t="s">
        <v>303</v>
      </c>
      <c r="B47" s="228" t="s">
        <v>291</v>
      </c>
      <c r="C47" s="228">
        <v>-1549.903</v>
      </c>
      <c r="D47" s="228">
        <v>-1635.22</v>
      </c>
      <c r="E47" s="232">
        <v>82.01</v>
      </c>
      <c r="F47" s="228"/>
      <c r="G47" s="228">
        <v>39.93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5"/>
  <sheetViews>
    <sheetView topLeftCell="A16" zoomScale="75" workbookViewId="0">
      <selection activeCell="B44" sqref="B43:B44"/>
    </sheetView>
  </sheetViews>
  <sheetFormatPr defaultRowHeight="15" x14ac:dyDescent="0.2"/>
  <cols>
    <col min="1" max="3" width="9.5546875" style="1" customWidth="1"/>
    <col min="4" max="16384" width="8.88671875" style="1"/>
  </cols>
  <sheetData>
    <row r="1" spans="2:13" ht="23.25" x14ac:dyDescent="0.35">
      <c r="K1" s="34"/>
    </row>
    <row r="2" spans="2:13" x14ac:dyDescent="0.2">
      <c r="K2" s="35"/>
    </row>
    <row r="4" spans="2:13" ht="22.5" customHeight="1" x14ac:dyDescent="0.5">
      <c r="B4" s="22"/>
      <c r="C4" s="216"/>
      <c r="D4" s="18"/>
      <c r="E4" s="18"/>
      <c r="F4" s="18"/>
      <c r="G4" s="18"/>
      <c r="H4" s="18"/>
      <c r="I4" s="18"/>
      <c r="J4" s="18"/>
      <c r="K4" s="18"/>
      <c r="L4" s="18"/>
      <c r="M4" s="18"/>
    </row>
    <row r="33" spans="1:1" x14ac:dyDescent="0.2">
      <c r="A33" s="1" t="s">
        <v>505</v>
      </c>
    </row>
    <row r="34" spans="1:1" ht="15.75" x14ac:dyDescent="0.25">
      <c r="A34" s="217" t="s">
        <v>504</v>
      </c>
    </row>
    <row r="35" spans="1:1" ht="15.75" x14ac:dyDescent="0.25">
      <c r="A35" s="217" t="s">
        <v>215</v>
      </c>
    </row>
  </sheetData>
  <phoneticPr fontId="2" type="noConversion"/>
  <hyperlinks>
    <hyperlink ref="A35" r:id="rId1"/>
    <hyperlink ref="A34" r:id="rId2"/>
  </hyperlinks>
  <pageMargins left="0.75" right="0.75" top="1" bottom="1" header="0.5" footer="0.5"/>
  <pageSetup paperSize="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3"/>
  <sheetViews>
    <sheetView zoomScale="75" zoomScaleNormal="75" workbookViewId="0">
      <selection activeCell="L33" sqref="L33"/>
    </sheetView>
  </sheetViews>
  <sheetFormatPr defaultColWidth="6.88671875" defaultRowHeight="16.5" customHeight="1" x14ac:dyDescent="0.2"/>
  <cols>
    <col min="1" max="1" width="2.77734375" customWidth="1"/>
    <col min="2" max="2" width="63.77734375" customWidth="1"/>
    <col min="3" max="4" width="9.33203125" style="492" customWidth="1"/>
    <col min="5" max="5" width="9.88671875" style="492" customWidth="1"/>
    <col min="6" max="6" width="9.33203125" style="492" customWidth="1"/>
    <col min="7" max="7" width="10.109375" style="492" customWidth="1"/>
    <col min="8" max="8" width="9.33203125" style="492" customWidth="1"/>
    <col min="9" max="9" width="9.88671875" style="492" customWidth="1"/>
    <col min="10" max="10" width="9.33203125" style="492" customWidth="1"/>
    <col min="11" max="11" width="9.88671875" style="492" customWidth="1"/>
    <col min="12" max="12" width="8.77734375" style="492" customWidth="1"/>
    <col min="13" max="13" width="10.109375" style="492" customWidth="1"/>
    <col min="14" max="14" width="9.33203125" style="492" customWidth="1"/>
    <col min="15" max="15" width="12.77734375" style="492" customWidth="1"/>
    <col min="16" max="27" width="6.77734375" style="492" customWidth="1"/>
  </cols>
  <sheetData>
    <row r="1" spans="1:60" s="11" customFormat="1" ht="16.5" customHeight="1" x14ac:dyDescent="0.35">
      <c r="B1" s="60"/>
      <c r="C1" s="282"/>
      <c r="D1" s="282"/>
      <c r="E1" s="282"/>
      <c r="F1" s="282"/>
      <c r="G1" s="282"/>
      <c r="H1" s="451"/>
      <c r="I1" s="282"/>
      <c r="J1" s="282"/>
      <c r="K1" s="282"/>
      <c r="L1" s="282"/>
      <c r="M1" s="282"/>
      <c r="N1" s="282"/>
      <c r="O1" s="282"/>
      <c r="P1" s="282"/>
      <c r="Q1" s="452"/>
      <c r="R1" s="282"/>
      <c r="S1" s="282"/>
      <c r="T1" s="282"/>
      <c r="U1" s="282"/>
      <c r="V1" s="282"/>
      <c r="W1" s="452"/>
      <c r="X1" s="282"/>
      <c r="Y1" s="282"/>
      <c r="Z1" s="282"/>
      <c r="AA1" s="282"/>
      <c r="AF1" s="358"/>
      <c r="AT1" s="188"/>
      <c r="AU1" s="188"/>
      <c r="AY1" s="188"/>
      <c r="AZ1" s="188"/>
      <c r="BA1" s="188"/>
      <c r="BB1" s="188"/>
      <c r="BC1" s="188"/>
    </row>
    <row r="2" spans="1:60" s="1" customFormat="1" ht="16.5" customHeight="1" x14ac:dyDescent="0.25">
      <c r="A2" s="11"/>
      <c r="B2" s="60"/>
      <c r="C2" s="282"/>
      <c r="D2" s="282"/>
      <c r="E2" s="282"/>
      <c r="F2" s="282"/>
      <c r="G2" s="282"/>
      <c r="H2" s="451"/>
      <c r="I2" s="282"/>
      <c r="J2" s="282"/>
      <c r="K2" s="282"/>
      <c r="L2" s="282"/>
      <c r="M2" s="282"/>
      <c r="N2" s="282"/>
      <c r="O2" s="282"/>
      <c r="P2" s="282"/>
      <c r="Q2" s="452"/>
      <c r="R2" s="282"/>
      <c r="S2" s="282"/>
      <c r="T2" s="282"/>
      <c r="U2" s="282"/>
      <c r="V2" s="282"/>
      <c r="W2" s="452"/>
      <c r="X2" s="282"/>
      <c r="Y2" s="282"/>
      <c r="Z2" s="282"/>
      <c r="AA2" s="282"/>
      <c r="AB2" s="11"/>
      <c r="AC2" s="11"/>
      <c r="AD2" s="11"/>
      <c r="AE2" s="11"/>
      <c r="AF2" s="358"/>
      <c r="AG2" s="11"/>
      <c r="AH2" s="11"/>
      <c r="AI2" s="11"/>
      <c r="AJ2" s="11"/>
      <c r="AK2" s="11"/>
      <c r="AL2" s="11"/>
      <c r="AM2" s="11"/>
      <c r="AN2" s="11"/>
      <c r="AT2" s="32"/>
      <c r="AU2" s="32"/>
      <c r="AY2" s="32"/>
      <c r="AZ2" s="32"/>
      <c r="BA2" s="32"/>
      <c r="BB2" s="32"/>
      <c r="BC2" s="32"/>
      <c r="BF2" s="11"/>
      <c r="BG2" s="11"/>
    </row>
    <row r="3" spans="1:60" s="1" customFormat="1" ht="18.75" customHeight="1" x14ac:dyDescent="0.25">
      <c r="A3" s="11"/>
      <c r="B3" s="60"/>
      <c r="C3" s="282"/>
      <c r="D3" s="282"/>
      <c r="E3" s="282"/>
      <c r="F3" s="282"/>
      <c r="G3" s="282"/>
      <c r="H3" s="451"/>
      <c r="I3" s="282"/>
      <c r="J3" s="282"/>
      <c r="K3" s="282"/>
      <c r="L3" s="282"/>
      <c r="M3" s="282"/>
      <c r="N3" s="282"/>
      <c r="O3" s="282"/>
      <c r="P3" s="282"/>
      <c r="Q3" s="452"/>
      <c r="R3" s="282"/>
      <c r="S3" s="282"/>
      <c r="T3" s="282"/>
      <c r="U3" s="282"/>
      <c r="V3" s="282"/>
      <c r="W3" s="452"/>
      <c r="X3" s="282"/>
      <c r="Y3" s="282"/>
      <c r="Z3" s="282"/>
      <c r="AA3" s="282"/>
      <c r="AB3" s="11"/>
      <c r="AC3" s="11"/>
      <c r="AD3" s="11"/>
      <c r="AE3" s="11"/>
      <c r="AF3" s="358"/>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row>
    <row r="4" spans="1:60" s="1" customFormat="1" ht="16.5" customHeight="1" x14ac:dyDescent="0.25">
      <c r="A4" s="11"/>
      <c r="B4" s="60"/>
      <c r="C4" s="282"/>
      <c r="D4" s="282"/>
      <c r="E4" s="282"/>
      <c r="F4" s="282"/>
      <c r="G4" s="282"/>
      <c r="H4" s="451"/>
      <c r="I4" s="282"/>
      <c r="J4" s="282"/>
      <c r="K4" s="282"/>
      <c r="L4" s="282"/>
      <c r="M4" s="282"/>
      <c r="N4" s="282"/>
      <c r="O4" s="282"/>
      <c r="P4" s="282"/>
      <c r="Q4" s="452"/>
      <c r="R4" s="282"/>
      <c r="S4" s="282"/>
      <c r="T4" s="282"/>
      <c r="U4" s="282"/>
      <c r="V4" s="282"/>
      <c r="W4" s="452"/>
      <c r="X4" s="282"/>
      <c r="Y4" s="282"/>
      <c r="Z4" s="282"/>
      <c r="AA4" s="282"/>
      <c r="AB4" s="11"/>
      <c r="AC4" s="11"/>
      <c r="AD4" s="11"/>
      <c r="AE4" s="11"/>
      <c r="AF4" s="358"/>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row>
    <row r="5" spans="1:60" s="1" customFormat="1" ht="16.5" customHeight="1" thickBot="1" x14ac:dyDescent="0.3">
      <c r="A5" s="11"/>
      <c r="B5" s="60"/>
      <c r="C5" s="282"/>
      <c r="D5" s="282"/>
      <c r="E5" s="282"/>
      <c r="F5" s="282"/>
      <c r="G5" s="282"/>
      <c r="H5" s="451"/>
      <c r="I5" s="282"/>
      <c r="J5" s="282"/>
      <c r="K5" s="282"/>
      <c r="L5" s="282"/>
      <c r="M5" s="282"/>
      <c r="N5" s="282"/>
      <c r="O5" s="282"/>
      <c r="P5" s="282"/>
      <c r="Q5" s="452"/>
      <c r="R5" s="282"/>
      <c r="S5" s="282"/>
      <c r="T5" s="282"/>
      <c r="U5" s="282"/>
      <c r="V5" s="282"/>
      <c r="W5" s="452"/>
      <c r="X5" s="282"/>
      <c r="Y5" s="282"/>
      <c r="Z5" s="282"/>
      <c r="AA5" s="282"/>
      <c r="AB5" s="11"/>
      <c r="AC5" s="11"/>
      <c r="AD5" s="11"/>
      <c r="AE5" s="11"/>
      <c r="AF5" s="358"/>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row>
    <row r="6" spans="1:60" s="27" customFormat="1" ht="28.5" customHeight="1" x14ac:dyDescent="0.25">
      <c r="A6" s="62"/>
      <c r="B6" s="494"/>
      <c r="C6" s="354" t="s">
        <v>383</v>
      </c>
      <c r="D6" s="453"/>
      <c r="E6" s="454" t="s">
        <v>85</v>
      </c>
      <c r="F6" s="454"/>
      <c r="G6" s="295" t="str">
        <f>'Energy &amp; Emissions Comparison'!AV5</f>
        <v>Tec-Cement</v>
      </c>
      <c r="H6" s="455"/>
      <c r="I6" s="295" t="str">
        <f>'Energy &amp; Emissions Comparison'!BA5</f>
        <v>Eco-Cement</v>
      </c>
      <c r="J6" s="455"/>
      <c r="K6" s="455" t="str">
        <f>'Energy &amp; Emissions Comparison'!BF5</f>
        <v>Lime Mortar</v>
      </c>
      <c r="L6" s="455"/>
      <c r="M6" s="295" t="s">
        <v>216</v>
      </c>
      <c r="N6" s="295" t="s">
        <v>377</v>
      </c>
      <c r="O6" s="295" t="str">
        <f>'Energy &amp; Emissions Comparison'!BP5</f>
        <v>SynCarb Aggregate</v>
      </c>
      <c r="P6" s="455"/>
      <c r="Q6" s="456"/>
      <c r="R6" s="295"/>
      <c r="S6" s="295"/>
      <c r="T6" s="295"/>
      <c r="U6" s="295"/>
      <c r="V6" s="457"/>
      <c r="W6" s="456"/>
      <c r="X6" s="295"/>
      <c r="Y6" s="295"/>
      <c r="Z6" s="295"/>
      <c r="AA6" s="458"/>
      <c r="AB6" s="283"/>
      <c r="AC6" s="283"/>
      <c r="AD6" s="292"/>
      <c r="AE6" s="292"/>
      <c r="AF6" s="293"/>
      <c r="AG6" s="293"/>
      <c r="AH6" s="293"/>
      <c r="AI6" s="293"/>
      <c r="AJ6" s="293"/>
      <c r="AK6" s="293"/>
      <c r="AL6" s="293"/>
      <c r="AM6" s="292"/>
      <c r="AN6" s="292"/>
      <c r="AO6" s="292"/>
      <c r="AP6" s="294"/>
      <c r="AQ6" s="294"/>
      <c r="AR6" s="292"/>
      <c r="AS6" s="292"/>
      <c r="AT6" s="292"/>
      <c r="AU6" s="292"/>
      <c r="AV6" s="292"/>
      <c r="AW6" s="292"/>
      <c r="AX6" s="292"/>
      <c r="AY6" s="292"/>
      <c r="AZ6" s="292"/>
      <c r="BA6" s="292"/>
      <c r="BB6" s="292"/>
      <c r="BC6" s="292"/>
      <c r="BD6" s="292"/>
      <c r="BE6" s="292"/>
      <c r="BF6" s="62"/>
      <c r="BG6" s="62"/>
    </row>
    <row r="7" spans="1:60" s="62" customFormat="1" ht="16.5" customHeight="1" x14ac:dyDescent="0.25">
      <c r="B7" s="495" t="s">
        <v>378</v>
      </c>
      <c r="C7" s="442"/>
      <c r="D7" s="459"/>
      <c r="E7" s="460" t="s">
        <v>367</v>
      </c>
      <c r="F7" s="460"/>
      <c r="G7" s="461" t="s">
        <v>367</v>
      </c>
      <c r="H7" s="461"/>
      <c r="I7" s="461" t="s">
        <v>367</v>
      </c>
      <c r="J7" s="461"/>
      <c r="K7" s="461" t="s">
        <v>367</v>
      </c>
      <c r="L7" s="461"/>
      <c r="M7" s="461" t="s">
        <v>367</v>
      </c>
      <c r="N7" s="275"/>
      <c r="O7" s="461" t="s">
        <v>367</v>
      </c>
      <c r="P7" s="461"/>
      <c r="Q7" s="462"/>
      <c r="R7" s="275"/>
      <c r="S7" s="275"/>
      <c r="T7" s="275"/>
      <c r="U7" s="275"/>
      <c r="V7" s="463"/>
      <c r="W7" s="462"/>
      <c r="X7" s="275"/>
      <c r="Y7" s="275"/>
      <c r="Z7" s="275"/>
      <c r="AA7" s="464"/>
      <c r="AB7" s="1"/>
      <c r="AC7" s="1"/>
      <c r="AD7" s="270"/>
      <c r="AE7" s="270"/>
      <c r="AF7" s="271"/>
      <c r="AG7" s="271"/>
      <c r="AH7" s="271"/>
      <c r="AI7" s="271"/>
      <c r="AJ7" s="271"/>
      <c r="AK7" s="271"/>
      <c r="AL7" s="271"/>
      <c r="AM7" s="270"/>
      <c r="AN7" s="270"/>
      <c r="AO7" s="270"/>
      <c r="AP7" s="272"/>
      <c r="AQ7" s="272"/>
      <c r="AR7" s="270"/>
      <c r="AS7" s="270"/>
      <c r="AT7" s="270"/>
      <c r="AU7" s="270"/>
      <c r="AV7" s="270"/>
      <c r="AW7" s="270"/>
      <c r="AX7" s="270"/>
      <c r="AY7" s="270"/>
      <c r="AZ7" s="270"/>
      <c r="BA7" s="270"/>
      <c r="BB7" s="270"/>
      <c r="BC7" s="270"/>
      <c r="BD7" s="270"/>
      <c r="BE7" s="270"/>
      <c r="BG7" s="11"/>
    </row>
    <row r="8" spans="1:60" s="283" customFormat="1" ht="33.75" customHeight="1" x14ac:dyDescent="0.25">
      <c r="A8" s="199"/>
      <c r="B8" s="496"/>
      <c r="C8" s="443" t="s">
        <v>368</v>
      </c>
      <c r="D8" s="465"/>
      <c r="E8" s="466" t="s">
        <v>366</v>
      </c>
      <c r="F8" s="466" t="s">
        <v>377</v>
      </c>
      <c r="G8" s="291" t="s">
        <v>366</v>
      </c>
      <c r="H8" s="467" t="s">
        <v>377</v>
      </c>
      <c r="I8" s="291" t="s">
        <v>366</v>
      </c>
      <c r="J8" s="467" t="s">
        <v>377</v>
      </c>
      <c r="K8" s="291" t="s">
        <v>366</v>
      </c>
      <c r="L8" s="467" t="s">
        <v>377</v>
      </c>
      <c r="M8" s="291" t="s">
        <v>366</v>
      </c>
      <c r="N8" s="291"/>
      <c r="O8" s="291" t="s">
        <v>366</v>
      </c>
      <c r="P8" s="493" t="s">
        <v>377</v>
      </c>
      <c r="Q8" s="468"/>
      <c r="R8" s="291"/>
      <c r="S8" s="291"/>
      <c r="T8" s="291"/>
      <c r="U8" s="291"/>
      <c r="V8" s="469"/>
      <c r="W8" s="468"/>
      <c r="X8" s="291"/>
      <c r="Y8" s="291"/>
      <c r="Z8" s="291"/>
      <c r="AA8" s="470"/>
      <c r="AD8" s="292"/>
      <c r="AE8" s="292"/>
      <c r="AF8" s="293"/>
      <c r="AG8" s="293"/>
      <c r="AH8" s="293"/>
      <c r="AI8" s="293"/>
      <c r="AJ8" s="293"/>
      <c r="AK8" s="293"/>
      <c r="AL8" s="293"/>
      <c r="AM8" s="292"/>
      <c r="AN8" s="292"/>
      <c r="AO8" s="292"/>
      <c r="AP8" s="294"/>
      <c r="AQ8" s="294"/>
      <c r="AR8" s="292"/>
      <c r="AS8" s="292"/>
      <c r="AT8" s="292"/>
      <c r="AU8" s="292"/>
      <c r="AV8" s="292"/>
      <c r="AW8" s="292"/>
      <c r="AX8" s="292"/>
      <c r="AY8" s="292"/>
      <c r="AZ8" s="292"/>
      <c r="BA8" s="292"/>
      <c r="BB8" s="292"/>
      <c r="BC8" s="292"/>
      <c r="BD8" s="292"/>
      <c r="BE8" s="292"/>
      <c r="BF8" s="203"/>
      <c r="BG8" s="203"/>
    </row>
    <row r="9" spans="1:60" s="1" customFormat="1" ht="16.5" customHeight="1" x14ac:dyDescent="0.25">
      <c r="A9" s="62"/>
      <c r="B9" s="497" t="s">
        <v>363</v>
      </c>
      <c r="C9" s="444">
        <v>0.12</v>
      </c>
      <c r="D9" s="471"/>
      <c r="E9" s="472">
        <v>3.4</v>
      </c>
      <c r="F9" s="473">
        <v>1</v>
      </c>
      <c r="G9" s="474">
        <f>$E$9*G15</f>
        <v>-0.57633673700952559</v>
      </c>
      <c r="H9" s="475"/>
      <c r="I9" s="474">
        <f>$E$9*I15</f>
        <v>-0.64817152591578109</v>
      </c>
      <c r="J9" s="475"/>
      <c r="K9" s="474">
        <f>$E$9*K15</f>
        <v>-0.3330551128640889</v>
      </c>
      <c r="L9" s="475"/>
      <c r="M9" s="474">
        <f>$E$9*M15</f>
        <v>-0.64817152591578109</v>
      </c>
      <c r="N9" s="280"/>
      <c r="O9" s="474">
        <f>$E$9*O15</f>
        <v>-3.6175646214255792</v>
      </c>
      <c r="P9" s="475"/>
      <c r="Q9" s="476"/>
      <c r="R9" s="280"/>
      <c r="S9" s="280"/>
      <c r="T9" s="280"/>
      <c r="U9" s="280"/>
      <c r="V9" s="477"/>
      <c r="W9" s="476"/>
      <c r="X9" s="280"/>
      <c r="Y9" s="280"/>
      <c r="Z9" s="280"/>
      <c r="AA9" s="478"/>
      <c r="AD9" s="270"/>
      <c r="AE9" s="270"/>
      <c r="AF9" s="271"/>
      <c r="AG9" s="271"/>
      <c r="AH9" s="271"/>
      <c r="AI9" s="271"/>
      <c r="AJ9" s="271"/>
      <c r="AK9" s="271"/>
      <c r="AL9" s="271"/>
      <c r="AM9" s="270"/>
      <c r="AN9" s="270"/>
      <c r="AO9" s="270"/>
      <c r="AP9" s="272"/>
      <c r="AQ9" s="272"/>
      <c r="AR9" s="270"/>
      <c r="AS9" s="270"/>
      <c r="AT9" s="270"/>
      <c r="AU9" s="270"/>
      <c r="AV9" s="270"/>
      <c r="AW9" s="270"/>
      <c r="AX9" s="270"/>
      <c r="AY9" s="270"/>
      <c r="AZ9" s="270"/>
      <c r="BA9" s="270"/>
      <c r="BB9" s="270"/>
      <c r="BC9" s="270"/>
      <c r="BD9" s="270"/>
      <c r="BE9" s="270"/>
      <c r="BF9" s="270"/>
      <c r="BG9" s="11"/>
      <c r="BH9" s="11"/>
    </row>
    <row r="10" spans="1:60" s="283" customFormat="1" ht="16.5" customHeight="1" x14ac:dyDescent="0.25">
      <c r="A10" s="199"/>
      <c r="B10" s="498" t="s">
        <v>364</v>
      </c>
      <c r="C10" s="445">
        <v>0.8</v>
      </c>
      <c r="D10" s="459"/>
      <c r="E10" s="460">
        <f>C10*$E$9/$C$9</f>
        <v>22.666666666666668</v>
      </c>
      <c r="F10" s="460"/>
      <c r="G10" s="479">
        <f>$E10*'Energy &amp; Emissions Comparison'!$AT$80</f>
        <v>-24.744942462581655</v>
      </c>
      <c r="H10" s="461" t="s">
        <v>373</v>
      </c>
      <c r="I10" s="479">
        <f>$E10*'Energy &amp; Emissions Comparison'!$AT$80</f>
        <v>-24.744942462581655</v>
      </c>
      <c r="J10" s="461" t="s">
        <v>373</v>
      </c>
      <c r="K10" s="479">
        <f>$E10*'Energy &amp; Emissions Comparison'!$AT$80</f>
        <v>-24.744942462581655</v>
      </c>
      <c r="L10" s="461"/>
      <c r="M10" s="479">
        <f>$E10*'Energy &amp; Emissions Comparison'!$AT$80</f>
        <v>-24.744942462581655</v>
      </c>
      <c r="N10" s="275" t="s">
        <v>374</v>
      </c>
      <c r="O10" s="479">
        <f>$E10*'Energy &amp; Emissions Comparison'!$AT$80</f>
        <v>-24.744942462581655</v>
      </c>
      <c r="P10" s="461"/>
      <c r="Q10" s="462"/>
      <c r="R10" s="275"/>
      <c r="S10" s="275"/>
      <c r="T10" s="275"/>
      <c r="U10" s="275"/>
      <c r="V10" s="463"/>
      <c r="W10" s="462"/>
      <c r="X10" s="275"/>
      <c r="Y10" s="275"/>
      <c r="Z10" s="275"/>
      <c r="AA10" s="464"/>
      <c r="AB10" s="1"/>
      <c r="AC10" s="1"/>
      <c r="AD10" s="270"/>
      <c r="AE10" s="270"/>
      <c r="AF10" s="271"/>
      <c r="AG10" s="271"/>
      <c r="AH10" s="271"/>
      <c r="AI10" s="271"/>
      <c r="AJ10" s="271"/>
      <c r="AK10" s="271"/>
      <c r="AL10" s="271"/>
      <c r="AM10" s="270"/>
      <c r="AN10" s="270"/>
      <c r="AO10" s="270"/>
      <c r="AP10" s="272"/>
      <c r="AQ10" s="272"/>
      <c r="AR10" s="270"/>
      <c r="AS10" s="270"/>
      <c r="AT10" s="270"/>
      <c r="AU10" s="270"/>
      <c r="AV10" s="270"/>
      <c r="AW10" s="270"/>
      <c r="AX10" s="270"/>
      <c r="AY10" s="270"/>
      <c r="AZ10" s="270"/>
      <c r="BA10" s="270"/>
      <c r="BB10" s="270"/>
      <c r="BC10" s="270"/>
      <c r="BD10" s="270"/>
      <c r="BE10" s="270"/>
      <c r="BF10" s="292"/>
      <c r="BG10" s="203"/>
      <c r="BH10" s="203"/>
    </row>
    <row r="11" spans="1:60" s="1" customFormat="1" ht="16.5" customHeight="1" x14ac:dyDescent="0.25">
      <c r="A11" s="62"/>
      <c r="B11" s="498" t="s">
        <v>365</v>
      </c>
      <c r="C11" s="445">
        <v>0.08</v>
      </c>
      <c r="D11" s="459"/>
      <c r="E11" s="460">
        <f>C11*$E$9/$C$9</f>
        <v>2.2666666666666671</v>
      </c>
      <c r="F11" s="460"/>
      <c r="G11" s="479">
        <f>$E11*$M16</f>
        <v>1.5866666666666671E-2</v>
      </c>
      <c r="H11" s="461"/>
      <c r="I11" s="479">
        <f>$E11*$M16</f>
        <v>1.5866666666666671E-2</v>
      </c>
      <c r="J11" s="461"/>
      <c r="K11" s="461"/>
      <c r="L11" s="461"/>
      <c r="M11" s="479">
        <f>$E11*$M16</f>
        <v>1.5866666666666671E-2</v>
      </c>
      <c r="N11" s="275"/>
      <c r="O11" s="479">
        <f>$E11*$M16</f>
        <v>1.5866666666666671E-2</v>
      </c>
      <c r="P11" s="461"/>
      <c r="Q11" s="462"/>
      <c r="R11" s="275"/>
      <c r="S11" s="275"/>
      <c r="T11" s="275"/>
      <c r="U11" s="275"/>
      <c r="V11" s="463"/>
      <c r="W11" s="462"/>
      <c r="X11" s="275"/>
      <c r="Y11" s="275"/>
      <c r="Z11" s="275"/>
      <c r="AA11" s="464"/>
      <c r="AD11" s="270"/>
      <c r="AE11" s="270"/>
      <c r="AF11" s="271"/>
      <c r="AG11" s="271"/>
      <c r="AH11" s="271"/>
      <c r="AI11" s="271"/>
      <c r="AJ11" s="271"/>
      <c r="AK11" s="271"/>
      <c r="AL11" s="271"/>
      <c r="AM11" s="270"/>
      <c r="AN11" s="270"/>
      <c r="AO11" s="270"/>
      <c r="AP11" s="272"/>
      <c r="AQ11" s="272"/>
      <c r="AR11" s="270"/>
      <c r="AS11" s="270"/>
      <c r="AT11" s="270"/>
      <c r="AU11" s="270"/>
      <c r="AV11" s="270"/>
      <c r="AW11" s="270"/>
      <c r="AX11" s="270"/>
      <c r="AY11" s="270"/>
      <c r="AZ11" s="270"/>
      <c r="BA11" s="270"/>
      <c r="BB11" s="270"/>
      <c r="BC11" s="270"/>
      <c r="BD11" s="270"/>
      <c r="BE11" s="270"/>
      <c r="BF11" s="270"/>
      <c r="BG11" s="11"/>
      <c r="BH11" s="11"/>
    </row>
    <row r="12" spans="1:60" s="1" customFormat="1" ht="16.5" customHeight="1" x14ac:dyDescent="0.25">
      <c r="A12" s="62"/>
      <c r="B12" s="498" t="s">
        <v>384</v>
      </c>
      <c r="C12" s="443"/>
      <c r="D12" s="459"/>
      <c r="E12" s="460">
        <f>SUM(E9:E11)</f>
        <v>28.333333333333332</v>
      </c>
      <c r="F12" s="460"/>
      <c r="G12" s="479">
        <f>SUM(G9:G11)</f>
        <v>-25.305412532924514</v>
      </c>
      <c r="H12" s="461"/>
      <c r="I12" s="479">
        <f>SUM(I9:I11)</f>
        <v>-25.377247321830769</v>
      </c>
      <c r="J12" s="461"/>
      <c r="K12" s="461"/>
      <c r="L12" s="461"/>
      <c r="M12" s="479">
        <f>SUM(M9:M11)</f>
        <v>-25.377247321830769</v>
      </c>
      <c r="N12" s="275"/>
      <c r="O12" s="479">
        <f>SUM(O9:O11)</f>
        <v>-28.346640417340566</v>
      </c>
      <c r="P12" s="461"/>
      <c r="Q12" s="462"/>
      <c r="R12" s="275"/>
      <c r="S12" s="275"/>
      <c r="T12" s="275"/>
      <c r="U12" s="275"/>
      <c r="V12" s="463"/>
      <c r="W12" s="462"/>
      <c r="X12" s="275"/>
      <c r="Y12" s="275"/>
      <c r="Z12" s="275"/>
      <c r="AA12" s="464"/>
      <c r="AD12" s="270"/>
      <c r="AE12" s="270"/>
      <c r="AF12" s="271"/>
      <c r="AG12" s="271"/>
      <c r="AH12" s="271"/>
      <c r="AI12" s="271"/>
      <c r="AJ12" s="271"/>
      <c r="AK12" s="271"/>
      <c r="AL12" s="271"/>
      <c r="AM12" s="270"/>
      <c r="AN12" s="270"/>
      <c r="AO12" s="270"/>
      <c r="AP12" s="272"/>
      <c r="AQ12" s="272"/>
      <c r="AR12" s="270"/>
      <c r="AS12" s="270"/>
      <c r="AT12" s="270"/>
      <c r="AU12" s="270"/>
      <c r="AV12" s="270"/>
      <c r="AW12" s="270"/>
      <c r="AX12" s="270"/>
      <c r="AY12" s="270"/>
      <c r="AZ12" s="270"/>
      <c r="BA12" s="270"/>
      <c r="BB12" s="270"/>
      <c r="BC12" s="270"/>
      <c r="BD12" s="270"/>
      <c r="BE12" s="270"/>
      <c r="BF12" s="270"/>
      <c r="BG12" s="11"/>
      <c r="BH12" s="11"/>
    </row>
    <row r="13" spans="1:60" s="1" customFormat="1" ht="16.5" customHeight="1" x14ac:dyDescent="0.25">
      <c r="A13" s="62"/>
      <c r="B13" s="499" t="s">
        <v>107</v>
      </c>
      <c r="C13" s="446"/>
      <c r="D13" s="471"/>
      <c r="E13" s="471"/>
      <c r="F13" s="472"/>
      <c r="G13" s="280"/>
      <c r="H13" s="480"/>
      <c r="I13" s="280"/>
      <c r="J13" s="475"/>
      <c r="K13" s="475"/>
      <c r="L13" s="475"/>
      <c r="M13" s="280"/>
      <c r="N13" s="280"/>
      <c r="O13" s="280"/>
      <c r="P13" s="475"/>
      <c r="Q13" s="476"/>
      <c r="R13" s="280"/>
      <c r="S13" s="280"/>
      <c r="T13" s="280"/>
      <c r="U13" s="280"/>
      <c r="V13" s="477"/>
      <c r="W13" s="476"/>
      <c r="X13" s="280"/>
      <c r="Y13" s="280"/>
      <c r="Z13" s="280"/>
      <c r="AA13" s="478"/>
      <c r="AD13" s="270"/>
      <c r="AE13" s="270"/>
      <c r="AF13" s="271"/>
      <c r="AG13" s="271"/>
      <c r="AH13" s="271"/>
      <c r="AI13" s="271"/>
      <c r="AJ13" s="271"/>
      <c r="AK13" s="271"/>
      <c r="AL13" s="271"/>
      <c r="AM13" s="270"/>
      <c r="AN13" s="270"/>
      <c r="AO13" s="270"/>
      <c r="AP13" s="272"/>
      <c r="AQ13" s="272"/>
      <c r="AR13" s="270"/>
      <c r="AS13" s="270"/>
      <c r="AT13" s="270"/>
      <c r="AU13" s="270"/>
      <c r="AV13" s="270"/>
      <c r="AW13" s="270"/>
      <c r="AX13" s="270"/>
      <c r="AY13" s="270"/>
      <c r="AZ13" s="270"/>
      <c r="BA13" s="270"/>
      <c r="BB13" s="270"/>
      <c r="BC13" s="270"/>
      <c r="BD13" s="270"/>
      <c r="BE13" s="270"/>
      <c r="BF13" s="270"/>
      <c r="BG13" s="11"/>
      <c r="BH13" s="11"/>
    </row>
    <row r="14" spans="1:60" s="1" customFormat="1" ht="16.5" customHeight="1" x14ac:dyDescent="0.25">
      <c r="A14" s="62"/>
      <c r="B14" s="500" t="s">
        <v>376</v>
      </c>
      <c r="C14" s="447"/>
      <c r="D14" s="465"/>
      <c r="E14" s="291" t="s">
        <v>375</v>
      </c>
      <c r="F14" s="466"/>
      <c r="G14" s="291" t="s">
        <v>375</v>
      </c>
      <c r="H14" s="481"/>
      <c r="I14" s="291" t="s">
        <v>375</v>
      </c>
      <c r="J14" s="467"/>
      <c r="K14" s="291" t="s">
        <v>375</v>
      </c>
      <c r="L14" s="467"/>
      <c r="M14" s="291" t="s">
        <v>375</v>
      </c>
      <c r="N14" s="291"/>
      <c r="O14" s="291" t="s">
        <v>375</v>
      </c>
      <c r="P14" s="467"/>
      <c r="Q14" s="468"/>
      <c r="R14" s="291"/>
      <c r="S14" s="291"/>
      <c r="T14" s="291"/>
      <c r="U14" s="291"/>
      <c r="V14" s="469"/>
      <c r="W14" s="468"/>
      <c r="X14" s="291"/>
      <c r="Y14" s="291"/>
      <c r="Z14" s="291"/>
      <c r="AA14" s="470"/>
      <c r="AB14" s="283"/>
      <c r="AC14" s="283"/>
      <c r="AD14" s="292"/>
      <c r="AE14" s="292"/>
      <c r="AF14" s="293"/>
      <c r="AG14" s="293"/>
      <c r="AH14" s="293"/>
      <c r="AI14" s="293"/>
      <c r="AJ14" s="293"/>
      <c r="AK14" s="293"/>
      <c r="AL14" s="293"/>
      <c r="AM14" s="292"/>
      <c r="AN14" s="292"/>
      <c r="AO14" s="292"/>
      <c r="AP14" s="294"/>
      <c r="AQ14" s="294"/>
      <c r="AR14" s="292"/>
      <c r="AS14" s="292"/>
      <c r="AT14" s="292"/>
      <c r="AU14" s="292"/>
      <c r="AV14" s="292"/>
      <c r="AW14" s="292"/>
      <c r="AX14" s="292"/>
      <c r="AY14" s="292"/>
      <c r="AZ14" s="292"/>
      <c r="BA14" s="292"/>
      <c r="BB14" s="292"/>
      <c r="BC14" s="292"/>
      <c r="BD14" s="292"/>
      <c r="BE14" s="292"/>
      <c r="BF14" s="270"/>
      <c r="BG14" s="11"/>
      <c r="BH14" s="11"/>
    </row>
    <row r="15" spans="1:60" s="1" customFormat="1" ht="16.5" customHeight="1" x14ac:dyDescent="0.25">
      <c r="A15" s="62"/>
      <c r="B15" s="501" t="s">
        <v>369</v>
      </c>
      <c r="C15" s="445"/>
      <c r="D15" s="459"/>
      <c r="E15" s="459">
        <f>'Energy &amp; Emissions Comparison'!J80</f>
        <v>0.88457562399999989</v>
      </c>
      <c r="F15" s="460"/>
      <c r="G15" s="479">
        <f>'Energy &amp; Emissions Comparison'!AY80</f>
        <v>-0.16951080500280166</v>
      </c>
      <c r="H15" s="482"/>
      <c r="I15" s="479">
        <f>'Energy &amp; Emissions Comparison'!BD80</f>
        <v>-0.19063868409287679</v>
      </c>
      <c r="J15" s="461"/>
      <c r="K15" s="479">
        <f>'Energy &amp; Emissions Comparison'!BI80</f>
        <v>-9.7957386136496738E-2</v>
      </c>
      <c r="L15" s="461"/>
      <c r="M15" s="479">
        <f>'Energy &amp; Emissions Comparison'!BN80</f>
        <v>-0.19063868409287679</v>
      </c>
      <c r="N15" s="275"/>
      <c r="O15" s="479">
        <f>'Energy &amp; Emissions Comparison'!BS80</f>
        <v>-1.0639895945369351</v>
      </c>
      <c r="P15" s="461">
        <v>2</v>
      </c>
      <c r="Q15" s="462"/>
      <c r="R15" s="275"/>
      <c r="S15" s="275"/>
      <c r="T15" s="275"/>
      <c r="U15" s="275"/>
      <c r="V15" s="275"/>
      <c r="W15" s="462"/>
      <c r="X15" s="275"/>
      <c r="Y15" s="275"/>
      <c r="Z15" s="275"/>
      <c r="AA15" s="464"/>
      <c r="AD15" s="270"/>
      <c r="AE15" s="270"/>
      <c r="AF15" s="271"/>
      <c r="AG15" s="271"/>
      <c r="AH15" s="271"/>
      <c r="AI15" s="271"/>
      <c r="AJ15" s="271"/>
      <c r="AK15" s="271"/>
      <c r="AL15" s="271"/>
      <c r="AM15" s="270"/>
      <c r="AN15" s="270"/>
      <c r="AO15" s="270"/>
      <c r="AP15" s="272"/>
      <c r="AQ15" s="272"/>
      <c r="AR15" s="270"/>
      <c r="AS15" s="270"/>
      <c r="AT15" s="270"/>
      <c r="AU15" s="270"/>
      <c r="AV15" s="270"/>
      <c r="AW15" s="270"/>
      <c r="AX15" s="270"/>
      <c r="AY15" s="270"/>
      <c r="AZ15" s="270"/>
      <c r="BA15" s="270"/>
      <c r="BB15" s="270"/>
      <c r="BC15" s="270"/>
      <c r="BD15" s="270"/>
      <c r="BE15" s="270"/>
      <c r="BF15" s="270"/>
      <c r="BG15" s="11"/>
      <c r="BH15" s="11"/>
    </row>
    <row r="16" spans="1:60" s="283" customFormat="1" ht="16.5" customHeight="1" thickBot="1" x14ac:dyDescent="0.3">
      <c r="A16" s="199"/>
      <c r="B16" s="502" t="s">
        <v>370</v>
      </c>
      <c r="C16" s="448"/>
      <c r="D16" s="483"/>
      <c r="E16" s="483">
        <v>7.0000000000000001E-3</v>
      </c>
      <c r="F16" s="483"/>
      <c r="G16" s="484">
        <v>7.0000000000000001E-3</v>
      </c>
      <c r="H16" s="485"/>
      <c r="I16" s="484">
        <v>7.0000000000000001E-3</v>
      </c>
      <c r="J16" s="486"/>
      <c r="K16" s="484">
        <v>7.0000000000000001E-3</v>
      </c>
      <c r="L16" s="486"/>
      <c r="M16" s="484">
        <v>7.0000000000000001E-3</v>
      </c>
      <c r="N16" s="276"/>
      <c r="O16" s="484">
        <v>7.0000000000000001E-3</v>
      </c>
      <c r="P16" s="486">
        <v>3</v>
      </c>
      <c r="Q16" s="487"/>
      <c r="R16" s="276"/>
      <c r="S16" s="276"/>
      <c r="T16" s="276"/>
      <c r="U16" s="276"/>
      <c r="V16" s="276"/>
      <c r="W16" s="487"/>
      <c r="X16" s="276"/>
      <c r="Y16" s="276"/>
      <c r="Z16" s="276"/>
      <c r="AA16" s="488"/>
      <c r="AB16" s="1"/>
      <c r="AC16" s="1"/>
      <c r="AD16" s="270"/>
      <c r="AE16" s="270"/>
      <c r="AF16" s="271"/>
      <c r="AG16" s="271"/>
      <c r="AH16" s="271"/>
      <c r="AI16" s="271"/>
      <c r="AJ16" s="271"/>
      <c r="AK16" s="271"/>
      <c r="AL16" s="271"/>
      <c r="AM16" s="270"/>
      <c r="AN16" s="270"/>
      <c r="AO16" s="270"/>
      <c r="AP16" s="272"/>
      <c r="AQ16" s="272"/>
      <c r="AR16" s="270"/>
      <c r="AS16" s="270"/>
      <c r="AT16" s="270"/>
      <c r="AU16" s="270"/>
      <c r="AV16" s="270"/>
      <c r="AW16" s="270"/>
      <c r="AX16" s="270"/>
      <c r="AY16" s="270"/>
      <c r="AZ16" s="270"/>
      <c r="BA16" s="270"/>
      <c r="BB16" s="270"/>
      <c r="BC16" s="270"/>
      <c r="BD16" s="270"/>
      <c r="BE16" s="270"/>
      <c r="BF16" s="292"/>
      <c r="BG16" s="203"/>
      <c r="BH16" s="203"/>
    </row>
    <row r="17" spans="1:60" s="1" customFormat="1" ht="16.5" customHeight="1" x14ac:dyDescent="0.25">
      <c r="A17" s="169"/>
      <c r="B17" s="273"/>
      <c r="C17" s="281"/>
      <c r="D17" s="281"/>
      <c r="E17" s="281"/>
      <c r="F17" s="489"/>
      <c r="G17" s="281"/>
      <c r="H17" s="489"/>
      <c r="I17" s="281"/>
      <c r="J17" s="489"/>
      <c r="K17" s="489"/>
      <c r="L17" s="489"/>
      <c r="M17" s="281"/>
      <c r="N17" s="281"/>
      <c r="O17" s="281"/>
      <c r="P17" s="489"/>
      <c r="Q17" s="490"/>
      <c r="R17" s="281"/>
      <c r="S17" s="281"/>
      <c r="T17" s="281"/>
      <c r="U17" s="281"/>
      <c r="V17" s="489"/>
      <c r="W17" s="490"/>
      <c r="X17" s="281"/>
      <c r="Y17" s="281"/>
      <c r="Z17" s="281"/>
      <c r="AA17" s="281"/>
      <c r="AB17" s="270"/>
      <c r="AC17" s="270"/>
      <c r="AD17" s="270"/>
      <c r="AE17" s="270"/>
      <c r="AF17" s="271"/>
      <c r="AG17" s="271"/>
      <c r="AH17" s="271"/>
      <c r="AI17" s="271"/>
      <c r="AJ17" s="271"/>
      <c r="AK17" s="271"/>
      <c r="AL17" s="271"/>
      <c r="AM17" s="270"/>
      <c r="AN17" s="270"/>
      <c r="AO17" s="270"/>
      <c r="AP17" s="272"/>
      <c r="AQ17" s="272"/>
      <c r="AR17" s="270"/>
      <c r="AS17" s="270"/>
      <c r="AT17" s="270"/>
      <c r="AU17" s="270"/>
      <c r="AV17" s="270"/>
      <c r="AW17" s="270"/>
      <c r="AX17" s="270"/>
      <c r="AY17" s="270"/>
      <c r="AZ17" s="270"/>
      <c r="BA17" s="270"/>
      <c r="BB17" s="270"/>
      <c r="BC17" s="270"/>
      <c r="BD17" s="270"/>
      <c r="BE17" s="270"/>
      <c r="BF17" s="270"/>
      <c r="BG17" s="11"/>
      <c r="BH17" s="11"/>
    </row>
    <row r="18" spans="1:60" s="1" customFormat="1" ht="16.5" customHeight="1" x14ac:dyDescent="0.25">
      <c r="A18" s="60" t="s">
        <v>107</v>
      </c>
      <c r="B18" s="60"/>
      <c r="C18" s="491"/>
      <c r="D18" s="491"/>
      <c r="E18" s="491"/>
      <c r="F18" s="282"/>
      <c r="G18" s="282"/>
      <c r="H18" s="451"/>
      <c r="I18" s="282"/>
      <c r="J18" s="282"/>
      <c r="K18" s="282"/>
      <c r="L18" s="282"/>
      <c r="M18" s="282"/>
      <c r="N18" s="282"/>
      <c r="O18" s="282"/>
      <c r="P18" s="282"/>
      <c r="Q18" s="452"/>
      <c r="R18" s="282"/>
      <c r="S18" s="282"/>
      <c r="T18" s="282"/>
      <c r="U18" s="282"/>
      <c r="V18" s="282"/>
      <c r="W18" s="452"/>
      <c r="X18" s="282"/>
      <c r="Y18" s="282"/>
      <c r="Z18" s="282"/>
      <c r="AA18" s="282"/>
      <c r="AB18" s="11"/>
      <c r="AC18" s="11"/>
      <c r="AD18" s="11"/>
      <c r="AE18" s="11"/>
      <c r="AF18" s="358"/>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row>
    <row r="19" spans="1:60" s="1" customFormat="1" ht="18" x14ac:dyDescent="0.25">
      <c r="A19" s="11">
        <v>1</v>
      </c>
      <c r="B19" s="60" t="s">
        <v>460</v>
      </c>
      <c r="C19" s="491"/>
      <c r="D19" s="491"/>
      <c r="E19" s="491"/>
      <c r="F19" s="282"/>
      <c r="G19" s="282"/>
      <c r="H19" s="451"/>
      <c r="I19" s="282"/>
      <c r="J19" s="282"/>
      <c r="K19" s="282"/>
      <c r="L19" s="282"/>
      <c r="M19" s="282"/>
      <c r="N19" s="282"/>
      <c r="O19" s="282"/>
      <c r="P19" s="282"/>
      <c r="Q19" s="452"/>
      <c r="R19" s="282"/>
      <c r="S19" s="282"/>
      <c r="T19" s="282"/>
      <c r="U19" s="282"/>
      <c r="V19" s="282"/>
      <c r="W19" s="452"/>
      <c r="X19" s="282"/>
      <c r="Y19" s="282"/>
      <c r="Z19" s="282"/>
      <c r="AA19" s="282"/>
      <c r="AB19" s="4"/>
      <c r="AC19" s="300"/>
      <c r="AD19" s="4"/>
      <c r="AE19" s="4"/>
      <c r="AF19" s="368"/>
      <c r="AG19" s="267"/>
      <c r="AH19" s="267"/>
      <c r="AI19" s="300"/>
      <c r="AJ19" s="267"/>
      <c r="AK19" s="267"/>
      <c r="AL19" s="4"/>
      <c r="AM19" s="4"/>
      <c r="AN19" s="300"/>
      <c r="AO19" s="4"/>
      <c r="AP19" s="4"/>
      <c r="AQ19" s="4"/>
      <c r="AR19" s="4"/>
      <c r="AS19" s="300"/>
      <c r="AT19" s="4"/>
      <c r="AU19" s="4"/>
      <c r="AV19" s="4"/>
      <c r="AW19" s="4"/>
      <c r="AX19" s="300"/>
      <c r="AY19" s="4"/>
      <c r="AZ19" s="4"/>
      <c r="BA19" s="4"/>
      <c r="BB19" s="4"/>
      <c r="BC19" s="300"/>
      <c r="BD19" s="11"/>
      <c r="BE19" s="11"/>
      <c r="BF19" s="11"/>
      <c r="BG19" s="11"/>
    </row>
    <row r="20" spans="1:60" s="1" customFormat="1" ht="18" x14ac:dyDescent="0.25">
      <c r="A20" s="11">
        <v>2</v>
      </c>
      <c r="B20" s="11" t="s">
        <v>371</v>
      </c>
      <c r="C20" s="491"/>
      <c r="D20" s="491"/>
      <c r="E20" s="491"/>
      <c r="F20" s="282"/>
      <c r="G20" s="282"/>
      <c r="H20" s="451"/>
      <c r="I20" s="282"/>
      <c r="J20" s="282"/>
      <c r="K20" s="282"/>
      <c r="L20" s="282"/>
      <c r="M20" s="282"/>
      <c r="N20" s="282"/>
      <c r="O20" s="282"/>
      <c r="P20" s="282"/>
      <c r="Q20" s="452"/>
      <c r="R20" s="282"/>
      <c r="S20" s="282"/>
      <c r="T20" s="282"/>
      <c r="U20" s="282"/>
      <c r="V20" s="282"/>
      <c r="W20" s="452"/>
      <c r="X20" s="282"/>
      <c r="Y20" s="282"/>
      <c r="Z20" s="282"/>
      <c r="AA20" s="282"/>
      <c r="AB20" s="4"/>
      <c r="AC20" s="300"/>
      <c r="AD20" s="4"/>
      <c r="AE20" s="4"/>
      <c r="AF20" s="368"/>
      <c r="AG20" s="267"/>
      <c r="AH20" s="267"/>
      <c r="AI20" s="300"/>
      <c r="AJ20" s="267"/>
      <c r="AK20" s="267"/>
      <c r="AL20" s="4"/>
      <c r="AM20" s="4"/>
      <c r="AN20" s="300"/>
      <c r="AO20" s="4"/>
      <c r="AP20" s="4"/>
      <c r="AQ20" s="4"/>
      <c r="AR20" s="4"/>
      <c r="AS20" s="300"/>
      <c r="AT20" s="4"/>
      <c r="AU20" s="4"/>
      <c r="AV20" s="4"/>
      <c r="AW20" s="4"/>
      <c r="AX20" s="300"/>
      <c r="AY20" s="4"/>
      <c r="AZ20" s="4"/>
      <c r="BA20" s="4"/>
      <c r="BB20" s="4"/>
      <c r="BC20" s="300"/>
      <c r="BD20" s="11"/>
      <c r="BE20" s="11"/>
      <c r="BF20" s="11"/>
      <c r="BG20" s="11"/>
    </row>
    <row r="21" spans="1:60" s="1" customFormat="1" ht="18" x14ac:dyDescent="0.25">
      <c r="A21" s="11">
        <v>3</v>
      </c>
      <c r="B21" s="11" t="s">
        <v>372</v>
      </c>
      <c r="C21" s="491"/>
      <c r="D21" s="491"/>
      <c r="E21" s="491"/>
      <c r="F21" s="282"/>
      <c r="G21" s="282"/>
      <c r="H21" s="451"/>
      <c r="I21" s="282"/>
      <c r="J21" s="282"/>
      <c r="K21" s="282"/>
      <c r="L21" s="282"/>
      <c r="M21" s="282"/>
      <c r="N21" s="282"/>
      <c r="O21" s="282"/>
      <c r="P21" s="282"/>
      <c r="Q21" s="452"/>
      <c r="R21" s="282"/>
      <c r="S21" s="282"/>
      <c r="T21" s="282"/>
      <c r="U21" s="282"/>
      <c r="V21" s="282"/>
      <c r="W21" s="452"/>
      <c r="X21" s="282"/>
      <c r="Y21" s="282"/>
      <c r="Z21" s="282"/>
      <c r="AA21" s="282"/>
      <c r="AB21" s="312"/>
      <c r="AC21" s="312"/>
      <c r="AD21" s="312"/>
      <c r="AE21" s="312"/>
      <c r="AF21" s="368"/>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11"/>
      <c r="BE21" s="11"/>
      <c r="BF21" s="11"/>
      <c r="BG21" s="11"/>
    </row>
    <row r="22" spans="1:60" s="1" customFormat="1" ht="16.5" customHeight="1" x14ac:dyDescent="0.25">
      <c r="A22" s="11"/>
      <c r="B22" s="60"/>
      <c r="C22" s="282"/>
      <c r="D22" s="282"/>
      <c r="E22" s="282"/>
      <c r="F22" s="282"/>
      <c r="G22" s="282"/>
      <c r="H22" s="451"/>
      <c r="I22" s="282"/>
      <c r="J22" s="282"/>
      <c r="K22" s="282"/>
      <c r="L22" s="282"/>
      <c r="M22" s="282"/>
      <c r="N22" s="282"/>
      <c r="O22" s="282"/>
      <c r="P22" s="282"/>
      <c r="Q22" s="452"/>
      <c r="R22" s="282"/>
      <c r="S22" s="282"/>
      <c r="T22" s="282"/>
      <c r="U22" s="282"/>
      <c r="V22" s="282"/>
      <c r="W22" s="452"/>
      <c r="X22" s="282"/>
      <c r="Y22" s="282"/>
      <c r="Z22" s="282"/>
      <c r="AA22" s="282"/>
      <c r="AB22" s="11"/>
      <c r="AC22" s="11"/>
      <c r="AD22" s="11"/>
      <c r="AE22" s="11"/>
      <c r="AF22" s="358"/>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row>
    <row r="23" spans="1:60" s="1" customFormat="1" ht="16.5" customHeight="1" x14ac:dyDescent="0.25">
      <c r="A23" s="11"/>
      <c r="B23" s="60"/>
      <c r="C23" s="282"/>
      <c r="D23" s="282"/>
      <c r="E23" s="282"/>
      <c r="F23" s="282"/>
      <c r="G23" s="282"/>
      <c r="H23" s="451"/>
      <c r="I23" s="282"/>
      <c r="J23" s="282"/>
      <c r="K23" s="282"/>
      <c r="L23" s="282"/>
      <c r="M23" s="282"/>
      <c r="N23" s="282"/>
      <c r="O23" s="282"/>
      <c r="P23" s="282"/>
      <c r="Q23" s="452"/>
      <c r="R23" s="282"/>
      <c r="S23" s="282"/>
      <c r="T23" s="282"/>
      <c r="U23" s="282"/>
      <c r="V23" s="282"/>
      <c r="W23" s="452"/>
      <c r="X23" s="282"/>
      <c r="Y23" s="282"/>
      <c r="Z23" s="282"/>
      <c r="AA23" s="282"/>
      <c r="AB23" s="11"/>
      <c r="AC23" s="11"/>
      <c r="AD23" s="11"/>
      <c r="AE23" s="11"/>
      <c r="AF23" s="358"/>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row>
    <row r="24" spans="1:60" s="1" customFormat="1" ht="16.5" customHeight="1" x14ac:dyDescent="0.25">
      <c r="A24" s="11"/>
      <c r="B24" s="60"/>
      <c r="C24" s="282"/>
      <c r="D24" s="282"/>
      <c r="E24" s="282"/>
      <c r="F24" s="282"/>
      <c r="G24" s="282"/>
      <c r="H24" s="451"/>
      <c r="I24" s="282"/>
      <c r="J24" s="282"/>
      <c r="K24" s="282"/>
      <c r="L24" s="282"/>
      <c r="M24" s="282"/>
      <c r="N24" s="282"/>
      <c r="O24" s="282"/>
      <c r="P24" s="282"/>
      <c r="Q24" s="452"/>
      <c r="R24" s="282"/>
      <c r="S24" s="282"/>
      <c r="T24" s="282"/>
      <c r="U24" s="282"/>
      <c r="V24" s="282"/>
      <c r="W24" s="452"/>
      <c r="X24" s="282"/>
      <c r="Y24" s="282"/>
      <c r="Z24" s="282"/>
      <c r="AA24" s="282"/>
      <c r="AB24" s="11"/>
      <c r="AC24" s="11"/>
      <c r="AD24" s="11"/>
      <c r="AE24" s="11"/>
      <c r="AF24" s="358"/>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row>
    <row r="25" spans="1:60" s="1" customFormat="1" ht="16.5" customHeight="1" x14ac:dyDescent="0.25">
      <c r="A25" s="11"/>
      <c r="B25" s="60"/>
      <c r="C25" s="282"/>
      <c r="D25" s="282"/>
      <c r="E25" s="282"/>
      <c r="F25" s="282"/>
      <c r="G25" s="282"/>
      <c r="H25" s="451"/>
      <c r="I25" s="282"/>
      <c r="J25" s="282"/>
      <c r="K25" s="282"/>
      <c r="L25" s="282"/>
      <c r="M25" s="282"/>
      <c r="N25" s="282"/>
      <c r="O25" s="282"/>
      <c r="P25" s="282"/>
      <c r="Q25" s="452"/>
      <c r="R25" s="282"/>
      <c r="S25" s="282"/>
      <c r="T25" s="282"/>
      <c r="U25" s="282"/>
      <c r="V25" s="282"/>
      <c r="W25" s="452"/>
      <c r="X25" s="282"/>
      <c r="Y25" s="282"/>
      <c r="Z25" s="282"/>
      <c r="AA25" s="282"/>
      <c r="AB25" s="11"/>
      <c r="AC25" s="11"/>
      <c r="AD25" s="11"/>
      <c r="AE25" s="11"/>
      <c r="AF25" s="358"/>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row>
    <row r="26" spans="1:60" s="1" customFormat="1" ht="16.5" customHeight="1" x14ac:dyDescent="0.25">
      <c r="A26" s="11"/>
      <c r="B26" s="60"/>
      <c r="C26" s="282"/>
      <c r="D26" s="282"/>
      <c r="E26" s="282"/>
      <c r="F26" s="282"/>
      <c r="G26" s="282"/>
      <c r="H26" s="451"/>
      <c r="I26" s="282"/>
      <c r="J26" s="282"/>
      <c r="K26" s="282"/>
      <c r="L26" s="282"/>
      <c r="M26" s="282"/>
      <c r="N26" s="282"/>
      <c r="O26" s="282"/>
      <c r="P26" s="282"/>
      <c r="Q26" s="452"/>
      <c r="R26" s="282"/>
      <c r="S26" s="282"/>
      <c r="T26" s="282"/>
      <c r="U26" s="282"/>
      <c r="V26" s="282"/>
      <c r="W26" s="452"/>
      <c r="X26" s="282"/>
      <c r="Y26" s="282"/>
      <c r="Z26" s="282"/>
      <c r="AA26" s="282"/>
      <c r="AB26" s="11"/>
      <c r="AC26" s="11"/>
      <c r="AD26" s="11"/>
      <c r="AE26" s="11"/>
      <c r="AF26" s="358"/>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row>
    <row r="27" spans="1:60" s="1" customFormat="1" ht="16.5" customHeight="1" x14ac:dyDescent="0.25">
      <c r="A27" s="11"/>
      <c r="B27" s="60"/>
      <c r="C27" s="282"/>
      <c r="D27" s="282"/>
      <c r="E27" s="282"/>
      <c r="F27" s="282"/>
      <c r="G27" s="282"/>
      <c r="H27" s="451"/>
      <c r="I27" s="282"/>
      <c r="J27" s="282"/>
      <c r="K27" s="282"/>
      <c r="L27" s="282"/>
      <c r="M27" s="282"/>
      <c r="N27" s="282"/>
      <c r="O27" s="282"/>
      <c r="P27" s="282"/>
      <c r="Q27" s="452"/>
      <c r="R27" s="282"/>
      <c r="S27" s="282"/>
      <c r="T27" s="282"/>
      <c r="U27" s="282"/>
      <c r="V27" s="282"/>
      <c r="W27" s="452"/>
      <c r="X27" s="282"/>
      <c r="Y27" s="282"/>
      <c r="Z27" s="282"/>
      <c r="AA27" s="282"/>
      <c r="AB27" s="11"/>
      <c r="AC27" s="11"/>
      <c r="AD27" s="11"/>
      <c r="AE27" s="11"/>
      <c r="AF27" s="358"/>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row>
    <row r="28" spans="1:60" s="1" customFormat="1" ht="16.5" customHeight="1" x14ac:dyDescent="0.25">
      <c r="A28" s="11"/>
      <c r="B28" s="60"/>
      <c r="C28" s="282"/>
      <c r="D28" s="282"/>
      <c r="E28" s="282"/>
      <c r="F28" s="282"/>
      <c r="G28" s="282"/>
      <c r="H28" s="451"/>
      <c r="I28" s="282"/>
      <c r="J28" s="282"/>
      <c r="K28" s="282"/>
      <c r="L28" s="282"/>
      <c r="M28" s="282"/>
      <c r="N28" s="282"/>
      <c r="O28" s="282"/>
      <c r="P28" s="282"/>
      <c r="Q28" s="452"/>
      <c r="R28" s="282"/>
      <c r="S28" s="282"/>
      <c r="T28" s="282"/>
      <c r="U28" s="282"/>
      <c r="V28" s="282"/>
      <c r="W28" s="452"/>
      <c r="X28" s="282"/>
      <c r="Y28" s="282"/>
      <c r="Z28" s="282"/>
      <c r="AA28" s="282"/>
      <c r="AB28" s="11"/>
      <c r="AC28" s="11"/>
      <c r="AD28" s="11"/>
      <c r="AE28" s="11"/>
      <c r="AF28" s="358"/>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row>
    <row r="29" spans="1:60" s="1" customFormat="1" ht="16.5" customHeight="1" x14ac:dyDescent="0.25">
      <c r="A29" s="11"/>
      <c r="B29" s="60"/>
      <c r="C29" s="282"/>
      <c r="D29" s="282"/>
      <c r="E29" s="282"/>
      <c r="F29" s="282"/>
      <c r="G29" s="282"/>
      <c r="H29" s="451"/>
      <c r="I29" s="282"/>
      <c r="J29" s="282"/>
      <c r="K29" s="282"/>
      <c r="L29" s="282"/>
      <c r="M29" s="282"/>
      <c r="N29" s="282"/>
      <c r="O29" s="282"/>
      <c r="P29" s="282"/>
      <c r="Q29" s="452"/>
      <c r="R29" s="282"/>
      <c r="S29" s="282"/>
      <c r="T29" s="282"/>
      <c r="U29" s="282"/>
      <c r="V29" s="282"/>
      <c r="W29" s="452"/>
      <c r="X29" s="282"/>
      <c r="Y29" s="282"/>
      <c r="Z29" s="282"/>
      <c r="AA29" s="282"/>
      <c r="AB29" s="11"/>
      <c r="AC29" s="11"/>
      <c r="AD29" s="11"/>
      <c r="AE29" s="11"/>
      <c r="AF29" s="358"/>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row>
    <row r="30" spans="1:60" s="1" customFormat="1" ht="16.5" customHeight="1" x14ac:dyDescent="0.25">
      <c r="A30" s="11"/>
      <c r="B30" s="60"/>
      <c r="C30" s="282"/>
      <c r="D30" s="282"/>
      <c r="E30" s="282"/>
      <c r="F30" s="282"/>
      <c r="G30" s="282"/>
      <c r="H30" s="451"/>
      <c r="I30" s="282"/>
      <c r="J30" s="282"/>
      <c r="K30" s="282"/>
      <c r="L30" s="282"/>
      <c r="M30" s="282"/>
      <c r="N30" s="282"/>
      <c r="O30" s="282"/>
      <c r="P30" s="282"/>
      <c r="Q30" s="452"/>
      <c r="R30" s="282"/>
      <c r="S30" s="282"/>
      <c r="T30" s="282"/>
      <c r="U30" s="282"/>
      <c r="V30" s="282"/>
      <c r="W30" s="452"/>
      <c r="X30" s="282"/>
      <c r="Y30" s="282"/>
      <c r="Z30" s="282"/>
      <c r="AA30" s="282"/>
      <c r="AB30" s="11"/>
      <c r="AC30" s="11"/>
      <c r="AD30" s="11"/>
      <c r="AE30" s="11"/>
      <c r="AF30" s="358"/>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row>
    <row r="31" spans="1:60" s="1" customFormat="1" ht="16.5" customHeight="1" x14ac:dyDescent="0.25">
      <c r="A31" s="11"/>
      <c r="B31" s="60"/>
      <c r="C31" s="282"/>
      <c r="D31" s="282"/>
      <c r="E31" s="282"/>
      <c r="F31" s="282"/>
      <c r="G31" s="282"/>
      <c r="H31" s="451"/>
      <c r="I31" s="282"/>
      <c r="J31" s="282"/>
      <c r="K31" s="282"/>
      <c r="L31" s="282"/>
      <c r="M31" s="282"/>
      <c r="N31" s="282"/>
      <c r="O31" s="282"/>
      <c r="P31" s="282"/>
      <c r="Q31" s="452"/>
      <c r="R31" s="282"/>
      <c r="S31" s="282"/>
      <c r="T31" s="282"/>
      <c r="U31" s="282"/>
      <c r="V31" s="282"/>
      <c r="W31" s="452"/>
      <c r="X31" s="282"/>
      <c r="Y31" s="282"/>
      <c r="Z31" s="282"/>
      <c r="AA31" s="282"/>
      <c r="AB31" s="11"/>
      <c r="AC31" s="11"/>
      <c r="AD31" s="11"/>
      <c r="AE31" s="11"/>
      <c r="AF31" s="358"/>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row>
    <row r="32" spans="1:60" s="1" customFormat="1" ht="16.5" customHeight="1" x14ac:dyDescent="0.25">
      <c r="A32" s="11"/>
      <c r="B32" s="60"/>
      <c r="C32" s="282"/>
      <c r="D32" s="282"/>
      <c r="E32" s="282"/>
      <c r="F32" s="282"/>
      <c r="G32" s="282"/>
      <c r="H32" s="451"/>
      <c r="I32" s="282"/>
      <c r="J32" s="282"/>
      <c r="K32" s="282"/>
      <c r="L32" s="282"/>
      <c r="M32" s="282"/>
      <c r="N32" s="282"/>
      <c r="O32" s="282"/>
      <c r="P32" s="282"/>
      <c r="Q32" s="452"/>
      <c r="R32" s="282"/>
      <c r="S32" s="282"/>
      <c r="T32" s="282"/>
      <c r="U32" s="282"/>
      <c r="V32" s="282"/>
      <c r="W32" s="452"/>
      <c r="X32" s="282"/>
      <c r="Y32" s="282"/>
      <c r="Z32" s="282"/>
      <c r="AA32" s="282"/>
      <c r="AB32" s="11"/>
      <c r="AC32" s="11"/>
      <c r="AD32" s="11"/>
      <c r="AE32" s="11"/>
      <c r="AF32" s="358"/>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row>
    <row r="33" spans="1:59" s="1" customFormat="1" ht="16.5" customHeight="1" x14ac:dyDescent="0.25">
      <c r="A33" s="11"/>
      <c r="B33" s="60"/>
      <c r="C33" s="282"/>
      <c r="D33" s="282"/>
      <c r="E33" s="282"/>
      <c r="F33" s="282"/>
      <c r="G33" s="282"/>
      <c r="H33" s="451"/>
      <c r="I33" s="282"/>
      <c r="J33" s="282"/>
      <c r="K33" s="282"/>
      <c r="L33" s="282"/>
      <c r="M33" s="282"/>
      <c r="N33" s="282"/>
      <c r="O33" s="282"/>
      <c r="P33" s="282"/>
      <c r="Q33" s="452"/>
      <c r="R33" s="282"/>
      <c r="S33" s="282"/>
      <c r="T33" s="282"/>
      <c r="U33" s="282"/>
      <c r="V33" s="282"/>
      <c r="W33" s="452"/>
      <c r="X33" s="282"/>
      <c r="Y33" s="282"/>
      <c r="Z33" s="282"/>
      <c r="AA33" s="282"/>
      <c r="AB33" s="11"/>
      <c r="AC33" s="11"/>
      <c r="AD33" s="11"/>
      <c r="AE33" s="11"/>
      <c r="AF33" s="358"/>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row>
    <row r="34" spans="1:59" s="1" customFormat="1" ht="16.5" customHeight="1" x14ac:dyDescent="0.25">
      <c r="A34" s="11"/>
      <c r="B34" s="60"/>
      <c r="C34" s="282"/>
      <c r="D34" s="282"/>
      <c r="E34" s="282"/>
      <c r="F34" s="282"/>
      <c r="G34" s="282"/>
      <c r="H34" s="451"/>
      <c r="I34" s="282"/>
      <c r="J34" s="282"/>
      <c r="K34" s="282"/>
      <c r="L34" s="282"/>
      <c r="M34" s="282"/>
      <c r="N34" s="282"/>
      <c r="O34" s="282"/>
      <c r="P34" s="282"/>
      <c r="Q34" s="452"/>
      <c r="R34" s="282"/>
      <c r="S34" s="282"/>
      <c r="T34" s="282"/>
      <c r="U34" s="282"/>
      <c r="V34" s="282"/>
      <c r="W34" s="452"/>
      <c r="X34" s="282"/>
      <c r="Y34" s="282"/>
      <c r="Z34" s="282"/>
      <c r="AA34" s="282"/>
      <c r="AB34" s="11"/>
      <c r="AC34" s="11"/>
      <c r="AD34" s="11"/>
      <c r="AE34" s="11"/>
      <c r="AF34" s="358"/>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row>
    <row r="35" spans="1:59" s="1" customFormat="1" ht="16.5" customHeight="1" x14ac:dyDescent="0.25">
      <c r="A35" s="11"/>
      <c r="B35" s="60"/>
      <c r="C35" s="282"/>
      <c r="D35" s="282"/>
      <c r="E35" s="282"/>
      <c r="F35" s="282"/>
      <c r="G35" s="282"/>
      <c r="H35" s="451"/>
      <c r="I35" s="282"/>
      <c r="J35" s="282"/>
      <c r="K35" s="282"/>
      <c r="L35" s="282"/>
      <c r="M35" s="282"/>
      <c r="N35" s="282"/>
      <c r="O35" s="282"/>
      <c r="P35" s="282"/>
      <c r="Q35" s="452"/>
      <c r="R35" s="282"/>
      <c r="S35" s="282"/>
      <c r="T35" s="282"/>
      <c r="U35" s="282"/>
      <c r="V35" s="282"/>
      <c r="W35" s="452"/>
      <c r="X35" s="282"/>
      <c r="Y35" s="282"/>
      <c r="Z35" s="282"/>
      <c r="AA35" s="282"/>
      <c r="AB35" s="11"/>
      <c r="AC35" s="11"/>
      <c r="AD35" s="11"/>
      <c r="AE35" s="11"/>
      <c r="AF35" s="358"/>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row>
    <row r="36" spans="1:59" s="1" customFormat="1" ht="16.5" customHeight="1" x14ac:dyDescent="0.25">
      <c r="A36" s="11"/>
      <c r="B36" s="60"/>
      <c r="C36" s="282"/>
      <c r="D36" s="282"/>
      <c r="E36" s="282"/>
      <c r="F36" s="282"/>
      <c r="G36" s="282"/>
      <c r="H36" s="451"/>
      <c r="I36" s="282"/>
      <c r="J36" s="282"/>
      <c r="K36" s="282"/>
      <c r="L36" s="282"/>
      <c r="M36" s="282"/>
      <c r="N36" s="282"/>
      <c r="O36" s="282"/>
      <c r="P36" s="282"/>
      <c r="Q36" s="452"/>
      <c r="R36" s="282"/>
      <c r="S36" s="282"/>
      <c r="T36" s="282"/>
      <c r="U36" s="282"/>
      <c r="V36" s="282"/>
      <c r="W36" s="452"/>
      <c r="X36" s="282"/>
      <c r="Y36" s="282"/>
      <c r="Z36" s="282"/>
      <c r="AA36" s="282"/>
      <c r="AB36" s="11"/>
      <c r="AC36" s="11"/>
      <c r="AD36" s="11"/>
      <c r="AE36" s="11"/>
      <c r="AF36" s="358"/>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row>
    <row r="37" spans="1:59" s="1" customFormat="1" ht="16.5" customHeight="1" x14ac:dyDescent="0.25">
      <c r="A37" s="11"/>
      <c r="B37" s="60"/>
      <c r="C37" s="282"/>
      <c r="D37" s="282"/>
      <c r="E37" s="282"/>
      <c r="F37" s="282"/>
      <c r="G37" s="282"/>
      <c r="H37" s="451"/>
      <c r="I37" s="282"/>
      <c r="J37" s="282"/>
      <c r="K37" s="282"/>
      <c r="L37" s="282"/>
      <c r="M37" s="282"/>
      <c r="N37" s="282"/>
      <c r="O37" s="282"/>
      <c r="P37" s="282"/>
      <c r="Q37" s="452"/>
      <c r="R37" s="282"/>
      <c r="S37" s="282"/>
      <c r="T37" s="282"/>
      <c r="U37" s="282"/>
      <c r="V37" s="282"/>
      <c r="W37" s="452"/>
      <c r="X37" s="282"/>
      <c r="Y37" s="282"/>
      <c r="Z37" s="282"/>
      <c r="AA37" s="282"/>
      <c r="AB37" s="11"/>
      <c r="AC37" s="11"/>
      <c r="AD37" s="11"/>
      <c r="AE37" s="11"/>
      <c r="AF37" s="358"/>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row>
    <row r="38" spans="1:59" s="1" customFormat="1" ht="16.5" customHeight="1" x14ac:dyDescent="0.25">
      <c r="A38" s="11"/>
      <c r="B38" s="60"/>
      <c r="C38" s="282"/>
      <c r="D38" s="282"/>
      <c r="E38" s="282"/>
      <c r="F38" s="282"/>
      <c r="G38" s="282"/>
      <c r="H38" s="451"/>
      <c r="I38" s="282"/>
      <c r="J38" s="282"/>
      <c r="K38" s="282"/>
      <c r="L38" s="282"/>
      <c r="M38" s="282"/>
      <c r="N38" s="282"/>
      <c r="O38" s="282"/>
      <c r="P38" s="282"/>
      <c r="Q38" s="452"/>
      <c r="R38" s="282"/>
      <c r="S38" s="282"/>
      <c r="T38" s="282"/>
      <c r="U38" s="282"/>
      <c r="V38" s="282"/>
      <c r="W38" s="452"/>
      <c r="X38" s="282"/>
      <c r="Y38" s="282"/>
      <c r="Z38" s="282"/>
      <c r="AA38" s="282"/>
      <c r="AB38" s="11"/>
      <c r="AC38" s="11"/>
      <c r="AD38" s="11"/>
      <c r="AE38" s="11"/>
      <c r="AF38" s="358"/>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row>
    <row r="39" spans="1:59" s="1" customFormat="1" ht="16.5" customHeight="1" x14ac:dyDescent="0.25">
      <c r="A39" s="11"/>
      <c r="B39" s="60"/>
      <c r="C39" s="282"/>
      <c r="D39" s="282"/>
      <c r="E39" s="282"/>
      <c r="F39" s="282"/>
      <c r="G39" s="282"/>
      <c r="H39" s="451"/>
      <c r="I39" s="282"/>
      <c r="J39" s="282"/>
      <c r="K39" s="282"/>
      <c r="L39" s="282"/>
      <c r="M39" s="282"/>
      <c r="N39" s="282"/>
      <c r="O39" s="282"/>
      <c r="P39" s="282"/>
      <c r="Q39" s="452"/>
      <c r="R39" s="282"/>
      <c r="S39" s="282"/>
      <c r="T39" s="282"/>
      <c r="U39" s="282"/>
      <c r="V39" s="282"/>
      <c r="W39" s="452"/>
      <c r="X39" s="282"/>
      <c r="Y39" s="282"/>
      <c r="Z39" s="282"/>
      <c r="AA39" s="282"/>
      <c r="AB39" s="11"/>
      <c r="AC39" s="11"/>
      <c r="AD39" s="11"/>
      <c r="AE39" s="11"/>
      <c r="AF39" s="358"/>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row>
    <row r="40" spans="1:59" s="1" customFormat="1" ht="16.5" customHeight="1" x14ac:dyDescent="0.25">
      <c r="A40" s="11"/>
      <c r="B40" s="60"/>
      <c r="C40" s="282"/>
      <c r="D40" s="282"/>
      <c r="E40" s="282"/>
      <c r="F40" s="282"/>
      <c r="G40" s="282"/>
      <c r="H40" s="451"/>
      <c r="I40" s="282"/>
      <c r="J40" s="282"/>
      <c r="K40" s="282"/>
      <c r="L40" s="282"/>
      <c r="M40" s="282"/>
      <c r="N40" s="282"/>
      <c r="O40" s="282"/>
      <c r="P40" s="282"/>
      <c r="Q40" s="452"/>
      <c r="R40" s="282"/>
      <c r="S40" s="282"/>
      <c r="T40" s="282"/>
      <c r="U40" s="282"/>
      <c r="V40" s="282"/>
      <c r="W40" s="452"/>
      <c r="X40" s="282"/>
      <c r="Y40" s="282"/>
      <c r="Z40" s="282"/>
      <c r="AA40" s="282"/>
      <c r="AB40" s="11"/>
      <c r="AC40" s="11"/>
      <c r="AD40" s="11"/>
      <c r="AE40" s="11"/>
      <c r="AF40" s="358"/>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row>
    <row r="41" spans="1:59" s="1" customFormat="1" ht="16.5" customHeight="1" x14ac:dyDescent="0.25">
      <c r="A41" s="11"/>
      <c r="B41" s="60"/>
      <c r="C41" s="282"/>
      <c r="D41" s="282"/>
      <c r="E41" s="282"/>
      <c r="F41" s="282"/>
      <c r="G41" s="282"/>
      <c r="H41" s="451"/>
      <c r="I41" s="282"/>
      <c r="J41" s="282"/>
      <c r="K41" s="282"/>
      <c r="L41" s="282"/>
      <c r="M41" s="282"/>
      <c r="N41" s="282"/>
      <c r="O41" s="282"/>
      <c r="P41" s="282"/>
      <c r="Q41" s="452"/>
      <c r="R41" s="282"/>
      <c r="S41" s="282"/>
      <c r="T41" s="282"/>
      <c r="U41" s="282"/>
      <c r="V41" s="282"/>
      <c r="W41" s="452"/>
      <c r="X41" s="282"/>
      <c r="Y41" s="282"/>
      <c r="Z41" s="282"/>
      <c r="AA41" s="282"/>
      <c r="AB41" s="11"/>
      <c r="AC41" s="11"/>
      <c r="AD41" s="11"/>
      <c r="AE41" s="11"/>
      <c r="AF41" s="358"/>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row>
    <row r="42" spans="1:59" s="1" customFormat="1" ht="16.5" customHeight="1" x14ac:dyDescent="0.25">
      <c r="A42" s="11"/>
      <c r="B42" s="60"/>
      <c r="C42" s="282"/>
      <c r="D42" s="282"/>
      <c r="E42" s="282"/>
      <c r="F42" s="282"/>
      <c r="G42" s="282"/>
      <c r="H42" s="451"/>
      <c r="I42" s="282"/>
      <c r="J42" s="282"/>
      <c r="K42" s="282"/>
      <c r="L42" s="282"/>
      <c r="M42" s="282"/>
      <c r="N42" s="282"/>
      <c r="O42" s="282"/>
      <c r="P42" s="282"/>
      <c r="Q42" s="452"/>
      <c r="R42" s="282"/>
      <c r="S42" s="282"/>
      <c r="T42" s="282"/>
      <c r="U42" s="282"/>
      <c r="V42" s="282"/>
      <c r="W42" s="452"/>
      <c r="X42" s="282"/>
      <c r="Y42" s="282"/>
      <c r="Z42" s="282"/>
      <c r="AA42" s="282"/>
      <c r="AB42" s="11"/>
      <c r="AC42" s="11"/>
      <c r="AD42" s="11"/>
      <c r="AE42" s="11"/>
      <c r="AF42" s="358"/>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row>
    <row r="43" spans="1:59" s="1" customFormat="1" ht="16.5" customHeight="1" x14ac:dyDescent="0.25">
      <c r="A43" s="11"/>
      <c r="B43" s="60"/>
      <c r="C43" s="282"/>
      <c r="D43" s="282"/>
      <c r="E43" s="282"/>
      <c r="F43" s="282"/>
      <c r="G43" s="282"/>
      <c r="H43" s="451"/>
      <c r="I43" s="282"/>
      <c r="J43" s="282"/>
      <c r="K43" s="282"/>
      <c r="L43" s="282"/>
      <c r="M43" s="282"/>
      <c r="N43" s="282"/>
      <c r="O43" s="282"/>
      <c r="P43" s="282"/>
      <c r="Q43" s="452"/>
      <c r="R43" s="282"/>
      <c r="S43" s="282"/>
      <c r="T43" s="282"/>
      <c r="U43" s="282"/>
      <c r="V43" s="282"/>
      <c r="W43" s="452"/>
      <c r="X43" s="282"/>
      <c r="Y43" s="282"/>
      <c r="Z43" s="282"/>
      <c r="AA43" s="282"/>
      <c r="AB43" s="11"/>
      <c r="AC43" s="11"/>
      <c r="AD43" s="11"/>
      <c r="AE43" s="11"/>
      <c r="AF43" s="358"/>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row>
    <row r="44" spans="1:59" s="1" customFormat="1" ht="16.5" customHeight="1" x14ac:dyDescent="0.25">
      <c r="A44" s="11"/>
      <c r="B44" s="60"/>
      <c r="C44" s="282"/>
      <c r="D44" s="282"/>
      <c r="E44" s="282"/>
      <c r="F44" s="282"/>
      <c r="G44" s="282"/>
      <c r="H44" s="451"/>
      <c r="I44" s="282"/>
      <c r="J44" s="282"/>
      <c r="K44" s="282"/>
      <c r="L44" s="282"/>
      <c r="M44" s="282"/>
      <c r="N44" s="282"/>
      <c r="O44" s="282"/>
      <c r="P44" s="282"/>
      <c r="Q44" s="452"/>
      <c r="R44" s="282"/>
      <c r="S44" s="282"/>
      <c r="T44" s="282"/>
      <c r="U44" s="282"/>
      <c r="V44" s="282"/>
      <c r="W44" s="452"/>
      <c r="X44" s="282"/>
      <c r="Y44" s="282"/>
      <c r="Z44" s="282"/>
      <c r="AA44" s="282"/>
      <c r="AB44" s="11"/>
      <c r="AC44" s="11"/>
      <c r="AD44" s="11"/>
      <c r="AE44" s="11"/>
      <c r="AF44" s="358"/>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row>
    <row r="45" spans="1:59" s="1" customFormat="1" ht="16.5" customHeight="1" x14ac:dyDescent="0.25">
      <c r="A45" s="11"/>
      <c r="B45" s="60"/>
      <c r="C45" s="282"/>
      <c r="D45" s="282"/>
      <c r="E45" s="282"/>
      <c r="F45" s="282"/>
      <c r="G45" s="282"/>
      <c r="H45" s="451"/>
      <c r="I45" s="282"/>
      <c r="J45" s="282"/>
      <c r="K45" s="282"/>
      <c r="L45" s="282"/>
      <c r="M45" s="282"/>
      <c r="N45" s="282"/>
      <c r="O45" s="282"/>
      <c r="P45" s="282"/>
      <c r="Q45" s="452"/>
      <c r="R45" s="282"/>
      <c r="S45" s="282"/>
      <c r="T45" s="282"/>
      <c r="U45" s="282"/>
      <c r="V45" s="282"/>
      <c r="W45" s="452"/>
      <c r="X45" s="282"/>
      <c r="Y45" s="282"/>
      <c r="Z45" s="282"/>
      <c r="AA45" s="282"/>
      <c r="AB45" s="11"/>
      <c r="AC45" s="11"/>
      <c r="AD45" s="11"/>
      <c r="AE45" s="11"/>
      <c r="AF45" s="358"/>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row>
    <row r="46" spans="1:59" s="1" customFormat="1" ht="16.5" customHeight="1" x14ac:dyDescent="0.25">
      <c r="A46" s="11"/>
      <c r="B46" s="60"/>
      <c r="C46" s="282"/>
      <c r="D46" s="282"/>
      <c r="E46" s="282"/>
      <c r="F46" s="282"/>
      <c r="G46" s="282"/>
      <c r="H46" s="451"/>
      <c r="I46" s="282"/>
      <c r="J46" s="282"/>
      <c r="K46" s="282"/>
      <c r="L46" s="282"/>
      <c r="M46" s="282"/>
      <c r="N46" s="282"/>
      <c r="O46" s="282"/>
      <c r="P46" s="282"/>
      <c r="Q46" s="452"/>
      <c r="R46" s="282"/>
      <c r="S46" s="282"/>
      <c r="T46" s="282"/>
      <c r="U46" s="282"/>
      <c r="V46" s="282"/>
      <c r="W46" s="452"/>
      <c r="X46" s="282"/>
      <c r="Y46" s="282"/>
      <c r="Z46" s="282"/>
      <c r="AA46" s="282"/>
      <c r="AB46" s="11"/>
      <c r="AC46" s="11"/>
      <c r="AD46" s="11"/>
      <c r="AE46" s="11"/>
      <c r="AF46" s="358"/>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row>
    <row r="47" spans="1:59" s="1" customFormat="1" ht="16.5" customHeight="1" x14ac:dyDescent="0.25">
      <c r="A47" s="11"/>
      <c r="B47" s="60"/>
      <c r="C47" s="282"/>
      <c r="D47" s="282"/>
      <c r="E47" s="282"/>
      <c r="F47" s="282"/>
      <c r="G47" s="282"/>
      <c r="H47" s="451"/>
      <c r="I47" s="282"/>
      <c r="J47" s="282"/>
      <c r="K47" s="282"/>
      <c r="L47" s="282"/>
      <c r="M47" s="282"/>
      <c r="N47" s="282"/>
      <c r="O47" s="282"/>
      <c r="P47" s="282"/>
      <c r="Q47" s="452"/>
      <c r="R47" s="282"/>
      <c r="S47" s="282"/>
      <c r="T47" s="282"/>
      <c r="U47" s="282"/>
      <c r="V47" s="282"/>
      <c r="W47" s="452"/>
      <c r="X47" s="282"/>
      <c r="Y47" s="282"/>
      <c r="Z47" s="282"/>
      <c r="AA47" s="282"/>
      <c r="AB47" s="11"/>
      <c r="AC47" s="11"/>
      <c r="AD47" s="11"/>
      <c r="AE47" s="11"/>
      <c r="AF47" s="358"/>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row>
    <row r="48" spans="1:59" s="1" customFormat="1" ht="16.5" customHeight="1" x14ac:dyDescent="0.25">
      <c r="A48" s="11"/>
      <c r="B48" s="60"/>
      <c r="C48" s="282"/>
      <c r="D48" s="282"/>
      <c r="E48" s="282"/>
      <c r="F48" s="282"/>
      <c r="G48" s="282"/>
      <c r="H48" s="451"/>
      <c r="I48" s="282"/>
      <c r="J48" s="282"/>
      <c r="K48" s="282"/>
      <c r="L48" s="282"/>
      <c r="M48" s="282"/>
      <c r="N48" s="282"/>
      <c r="O48" s="282"/>
      <c r="P48" s="282"/>
      <c r="Q48" s="452"/>
      <c r="R48" s="282"/>
      <c r="S48" s="282"/>
      <c r="T48" s="282"/>
      <c r="U48" s="282"/>
      <c r="V48" s="282"/>
      <c r="W48" s="452"/>
      <c r="X48" s="282"/>
      <c r="Y48" s="282"/>
      <c r="Z48" s="282"/>
      <c r="AA48" s="282"/>
      <c r="AB48" s="11"/>
      <c r="AC48" s="11"/>
      <c r="AD48" s="11"/>
      <c r="AE48" s="11"/>
      <c r="AF48" s="358"/>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row>
    <row r="49" spans="1:59" s="1" customFormat="1" ht="16.5" customHeight="1" x14ac:dyDescent="0.25">
      <c r="A49" s="11"/>
      <c r="B49" s="60"/>
      <c r="C49" s="282"/>
      <c r="D49" s="282"/>
      <c r="E49" s="282"/>
      <c r="F49" s="282"/>
      <c r="G49" s="282"/>
      <c r="H49" s="451"/>
      <c r="I49" s="282"/>
      <c r="J49" s="282"/>
      <c r="K49" s="282"/>
      <c r="L49" s="282"/>
      <c r="M49" s="282"/>
      <c r="N49" s="282"/>
      <c r="O49" s="282"/>
      <c r="P49" s="282"/>
      <c r="Q49" s="452"/>
      <c r="R49" s="282"/>
      <c r="S49" s="282"/>
      <c r="T49" s="282"/>
      <c r="U49" s="282"/>
      <c r="V49" s="282"/>
      <c r="W49" s="452"/>
      <c r="X49" s="282"/>
      <c r="Y49" s="282"/>
      <c r="Z49" s="282"/>
      <c r="AA49" s="282"/>
      <c r="AB49" s="11"/>
      <c r="AC49" s="11"/>
      <c r="AD49" s="11"/>
      <c r="AE49" s="11"/>
      <c r="AF49" s="358"/>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row>
    <row r="50" spans="1:59" s="1" customFormat="1" ht="16.5" customHeight="1" x14ac:dyDescent="0.25">
      <c r="A50" s="11"/>
      <c r="B50" s="60"/>
      <c r="C50" s="282"/>
      <c r="D50" s="282"/>
      <c r="E50" s="282"/>
      <c r="F50" s="282"/>
      <c r="G50" s="282"/>
      <c r="H50" s="451"/>
      <c r="I50" s="282"/>
      <c r="J50" s="282"/>
      <c r="K50" s="282"/>
      <c r="L50" s="282"/>
      <c r="M50" s="282"/>
      <c r="N50" s="282"/>
      <c r="O50" s="282"/>
      <c r="P50" s="282"/>
      <c r="Q50" s="452"/>
      <c r="R50" s="282"/>
      <c r="S50" s="282"/>
      <c r="T50" s="282"/>
      <c r="U50" s="282"/>
      <c r="V50" s="282"/>
      <c r="W50" s="452"/>
      <c r="X50" s="282"/>
      <c r="Y50" s="282"/>
      <c r="Z50" s="282"/>
      <c r="AA50" s="282"/>
      <c r="AB50" s="11"/>
      <c r="AC50" s="11"/>
      <c r="AD50" s="11"/>
      <c r="AE50" s="11"/>
      <c r="AF50" s="358"/>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row>
    <row r="51" spans="1:59" s="1" customFormat="1" ht="16.5" customHeight="1" x14ac:dyDescent="0.25">
      <c r="A51" s="11"/>
      <c r="B51" s="60"/>
      <c r="C51" s="282"/>
      <c r="D51" s="282"/>
      <c r="E51" s="282"/>
      <c r="F51" s="282"/>
      <c r="G51" s="282"/>
      <c r="H51" s="451"/>
      <c r="I51" s="282"/>
      <c r="J51" s="282"/>
      <c r="K51" s="282"/>
      <c r="L51" s="282"/>
      <c r="M51" s="282"/>
      <c r="N51" s="282"/>
      <c r="O51" s="282"/>
      <c r="P51" s="282"/>
      <c r="Q51" s="452"/>
      <c r="R51" s="282"/>
      <c r="S51" s="282"/>
      <c r="T51" s="282"/>
      <c r="U51" s="282"/>
      <c r="V51" s="282"/>
      <c r="W51" s="452"/>
      <c r="X51" s="282"/>
      <c r="Y51" s="282"/>
      <c r="Z51" s="282"/>
      <c r="AA51" s="282"/>
      <c r="AB51" s="11"/>
      <c r="AC51" s="11"/>
      <c r="AD51" s="11"/>
      <c r="AE51" s="11"/>
      <c r="AF51" s="358"/>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row>
    <row r="52" spans="1:59" s="1" customFormat="1" ht="16.5" customHeight="1" x14ac:dyDescent="0.25">
      <c r="A52" s="11"/>
      <c r="B52" s="60"/>
      <c r="C52" s="282"/>
      <c r="D52" s="282"/>
      <c r="E52" s="282"/>
      <c r="F52" s="282"/>
      <c r="G52" s="282"/>
      <c r="H52" s="451"/>
      <c r="I52" s="282"/>
      <c r="J52" s="282"/>
      <c r="K52" s="282"/>
      <c r="L52" s="282"/>
      <c r="M52" s="282"/>
      <c r="N52" s="282"/>
      <c r="O52" s="282"/>
      <c r="P52" s="282"/>
      <c r="Q52" s="452"/>
      <c r="R52" s="282"/>
      <c r="S52" s="282"/>
      <c r="T52" s="282"/>
      <c r="U52" s="282"/>
      <c r="V52" s="282"/>
      <c r="W52" s="452"/>
      <c r="X52" s="282"/>
      <c r="Y52" s="282"/>
      <c r="Z52" s="282"/>
      <c r="AA52" s="282"/>
      <c r="AB52" s="11"/>
      <c r="AC52" s="11"/>
      <c r="AD52" s="11"/>
      <c r="AE52" s="11"/>
      <c r="AF52" s="358"/>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row>
    <row r="53" spans="1:59" s="1" customFormat="1" ht="16.5" customHeight="1" x14ac:dyDescent="0.25">
      <c r="A53" s="11"/>
      <c r="B53" s="60"/>
      <c r="C53" s="282"/>
      <c r="D53" s="282"/>
      <c r="E53" s="282"/>
      <c r="F53" s="282"/>
      <c r="G53" s="282"/>
      <c r="H53" s="451"/>
      <c r="I53" s="282"/>
      <c r="J53" s="282"/>
      <c r="K53" s="282"/>
      <c r="L53" s="282"/>
      <c r="M53" s="282"/>
      <c r="N53" s="282"/>
      <c r="O53" s="282"/>
      <c r="P53" s="282"/>
      <c r="Q53" s="452"/>
      <c r="R53" s="282"/>
      <c r="S53" s="282"/>
      <c r="T53" s="282"/>
      <c r="U53" s="282"/>
      <c r="V53" s="282"/>
      <c r="W53" s="452"/>
      <c r="X53" s="282"/>
      <c r="Y53" s="282"/>
      <c r="Z53" s="282"/>
      <c r="AA53" s="282"/>
      <c r="AB53" s="11"/>
      <c r="AC53" s="11"/>
      <c r="AD53" s="11"/>
      <c r="AE53" s="11"/>
      <c r="AF53" s="358"/>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row>
  </sheetData>
  <hyperlinks>
    <hyperlink ref="B14" r:id="rId1"/>
  </hyperlinks>
  <pageMargins left="0.7" right="0.7" top="0.75" bottom="0.75" header="0.3" footer="0.3"/>
  <pageSetup paperSize="9"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W111"/>
  <sheetViews>
    <sheetView tabSelected="1" zoomScale="65" zoomScaleNormal="65" workbookViewId="0">
      <pane xSplit="5" ySplit="6" topLeftCell="AB61" activePane="bottomRight" state="frozen"/>
      <selection pane="topRight" activeCell="D1" sqref="D1"/>
      <selection pane="bottomLeft" activeCell="A7" sqref="A7"/>
      <selection pane="bottomRight" activeCell="AD81" sqref="AD81"/>
    </sheetView>
  </sheetViews>
  <sheetFormatPr defaultRowHeight="18" x14ac:dyDescent="0.25"/>
  <cols>
    <col min="1" max="1" width="6.44140625" style="11" customWidth="1"/>
    <col min="2" max="2" width="29.88671875" style="169" customWidth="1"/>
    <col min="3" max="4" width="8.109375" style="169" customWidth="1"/>
    <col min="5" max="5" width="80.77734375" style="1" customWidth="1"/>
    <col min="6" max="6" width="3" style="356" customWidth="1"/>
    <col min="7" max="11" width="11.109375" style="1" customWidth="1"/>
    <col min="12" max="12" width="3.109375" style="356" customWidth="1"/>
    <col min="13" max="13" width="11.109375" style="1" customWidth="1"/>
    <col min="14" max="15" width="11.109375" style="289" customWidth="1"/>
    <col min="16" max="17" width="11.109375" style="1" customWidth="1"/>
    <col min="18" max="18" width="3" style="356" customWidth="1"/>
    <col min="19" max="23" width="11.109375" style="1" customWidth="1"/>
    <col min="24" max="24" width="3.109375" style="356" customWidth="1"/>
    <col min="25" max="29" width="11.109375" style="1" customWidth="1"/>
    <col min="30" max="30" width="3.109375" style="356" customWidth="1"/>
    <col min="31" max="35" width="11.109375" style="1" customWidth="1"/>
    <col min="36" max="36" width="3.109375" style="356" customWidth="1"/>
    <col min="37" max="41" width="11.109375" style="1" customWidth="1"/>
    <col min="42" max="42" width="3.109375" style="356" customWidth="1"/>
    <col min="43" max="72" width="11.109375" style="1" customWidth="1"/>
    <col min="73" max="16384" width="8.88671875" style="1"/>
  </cols>
  <sheetData>
    <row r="1" spans="1:72" s="11" customFormat="1" ht="23.25" x14ac:dyDescent="0.35">
      <c r="B1" s="60"/>
      <c r="C1" s="60"/>
      <c r="D1" s="60"/>
      <c r="E1" s="324"/>
      <c r="F1" s="334"/>
      <c r="L1" s="358"/>
      <c r="N1" s="284"/>
      <c r="O1" s="284"/>
      <c r="R1" s="358"/>
      <c r="X1" s="358"/>
      <c r="AD1" s="358"/>
      <c r="AJ1" s="358"/>
      <c r="AP1" s="358"/>
      <c r="BD1" s="188"/>
      <c r="BE1" s="188"/>
      <c r="BI1" s="188"/>
      <c r="BJ1" s="188"/>
      <c r="BK1" s="188"/>
      <c r="BL1" s="188"/>
      <c r="BM1" s="188"/>
      <c r="BP1" s="188"/>
      <c r="BQ1" s="188"/>
      <c r="BR1" s="188"/>
    </row>
    <row r="2" spans="1:72" x14ac:dyDescent="0.25">
      <c r="B2" s="60"/>
      <c r="C2" s="60"/>
      <c r="D2" s="60"/>
      <c r="G2" s="11"/>
      <c r="H2" s="11"/>
      <c r="I2" s="11"/>
      <c r="J2" s="11"/>
      <c r="K2" s="11"/>
      <c r="L2" s="358"/>
      <c r="M2" s="11"/>
      <c r="N2" s="284"/>
      <c r="O2" s="284"/>
      <c r="P2" s="11"/>
      <c r="Q2" s="11"/>
      <c r="R2" s="358"/>
      <c r="S2" s="11"/>
      <c r="T2" s="11"/>
      <c r="U2" s="11"/>
      <c r="V2" s="11"/>
      <c r="W2" s="11"/>
      <c r="X2" s="358"/>
      <c r="Y2" s="11"/>
      <c r="Z2" s="11"/>
      <c r="AA2" s="11"/>
      <c r="AB2" s="11"/>
      <c r="AC2" s="11"/>
      <c r="AD2" s="358"/>
      <c r="AE2" s="11"/>
      <c r="AF2" s="11"/>
      <c r="AG2" s="11"/>
      <c r="AH2" s="11"/>
      <c r="AI2" s="11"/>
      <c r="AJ2" s="358"/>
      <c r="AK2" s="11"/>
      <c r="AL2" s="11"/>
      <c r="AM2" s="11"/>
      <c r="AN2" s="11"/>
      <c r="AO2" s="11"/>
      <c r="AP2" s="358"/>
      <c r="AQ2" s="11"/>
      <c r="AR2" s="11"/>
      <c r="AS2" s="11"/>
      <c r="AT2" s="11"/>
      <c r="AU2" s="11"/>
      <c r="AV2" s="11"/>
      <c r="AW2" s="11"/>
      <c r="AX2" s="11"/>
      <c r="BD2" s="32"/>
      <c r="BE2" s="32"/>
      <c r="BI2" s="32"/>
      <c r="BJ2" s="32"/>
      <c r="BK2" s="32"/>
      <c r="BL2" s="32"/>
      <c r="BM2" s="32"/>
      <c r="BP2" s="32"/>
      <c r="BQ2" s="32"/>
      <c r="BR2" s="32"/>
    </row>
    <row r="3" spans="1:72" ht="21" thickBot="1" x14ac:dyDescent="0.35">
      <c r="B3" s="60"/>
      <c r="C3" s="60"/>
      <c r="D3" s="60"/>
      <c r="E3" s="23"/>
      <c r="F3" s="357"/>
      <c r="G3" s="11"/>
      <c r="H3" s="11"/>
      <c r="I3" s="11"/>
      <c r="J3" s="11"/>
      <c r="K3" s="11"/>
      <c r="L3" s="358"/>
      <c r="M3" s="11"/>
      <c r="N3" s="284"/>
      <c r="O3" s="284"/>
      <c r="P3" s="11"/>
      <c r="Q3" s="11"/>
      <c r="R3" s="358"/>
      <c r="S3" s="11"/>
      <c r="T3" s="11"/>
      <c r="U3" s="11"/>
      <c r="V3" s="11"/>
      <c r="W3" s="11"/>
      <c r="X3" s="358"/>
      <c r="Y3" s="11"/>
      <c r="Z3" s="11"/>
      <c r="AA3" s="11"/>
      <c r="AB3" s="11"/>
      <c r="AC3" s="11"/>
      <c r="AD3" s="358"/>
      <c r="AE3" s="11"/>
      <c r="AF3" s="11"/>
      <c r="AG3" s="11"/>
      <c r="AH3" s="11"/>
      <c r="AI3" s="11"/>
      <c r="AJ3" s="358"/>
      <c r="AK3" s="11"/>
      <c r="AL3" s="11"/>
      <c r="AM3" s="11"/>
      <c r="AN3" s="11"/>
      <c r="AO3" s="11"/>
      <c r="AP3" s="358"/>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ht="21" thickBot="1" x14ac:dyDescent="0.35">
      <c r="B4" s="60"/>
      <c r="C4" s="60"/>
      <c r="D4" s="60"/>
      <c r="E4" s="23"/>
      <c r="F4" s="357"/>
      <c r="G4" s="823" t="s">
        <v>445</v>
      </c>
      <c r="H4" s="824"/>
      <c r="I4" s="824"/>
      <c r="J4" s="824"/>
      <c r="K4" s="824"/>
      <c r="L4" s="824"/>
      <c r="M4" s="824"/>
      <c r="N4" s="824"/>
      <c r="O4" s="824"/>
      <c r="P4" s="824"/>
      <c r="Q4" s="824"/>
      <c r="R4" s="824"/>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6"/>
      <c r="AV4" s="834" t="s">
        <v>192</v>
      </c>
      <c r="AW4" s="828"/>
      <c r="AX4" s="828"/>
      <c r="AY4" s="864"/>
      <c r="AZ4" s="864"/>
      <c r="BA4" s="864"/>
      <c r="BB4" s="864"/>
      <c r="BC4" s="864"/>
      <c r="BD4" s="864"/>
      <c r="BE4" s="864"/>
      <c r="BF4" s="864"/>
      <c r="BG4" s="864"/>
      <c r="BH4" s="864"/>
      <c r="BI4" s="864"/>
      <c r="BJ4" s="864"/>
      <c r="BK4" s="864"/>
      <c r="BL4" s="864"/>
      <c r="BM4" s="864"/>
      <c r="BN4" s="864"/>
      <c r="BO4" s="841"/>
      <c r="BP4" s="841"/>
      <c r="BQ4" s="841"/>
      <c r="BR4" s="841"/>
      <c r="BS4" s="841"/>
      <c r="BT4" s="840"/>
    </row>
    <row r="5" spans="1:72" s="187" customFormat="1" ht="21.75" thickBot="1" x14ac:dyDescent="0.4">
      <c r="A5" s="186"/>
      <c r="B5" s="186"/>
      <c r="C5" s="186"/>
      <c r="D5" s="186"/>
      <c r="E5" s="186"/>
      <c r="F5" s="358"/>
      <c r="G5" s="834" t="s">
        <v>85</v>
      </c>
      <c r="H5" s="828"/>
      <c r="I5" s="828"/>
      <c r="J5" s="835"/>
      <c r="K5" s="836"/>
      <c r="L5" s="381"/>
      <c r="M5" s="827" t="s">
        <v>346</v>
      </c>
      <c r="N5" s="828"/>
      <c r="O5" s="828"/>
      <c r="P5" s="828"/>
      <c r="Q5" s="829"/>
      <c r="R5" s="381"/>
      <c r="S5" s="827" t="s">
        <v>345</v>
      </c>
      <c r="T5" s="828"/>
      <c r="U5" s="828"/>
      <c r="V5" s="828"/>
      <c r="W5" s="829"/>
      <c r="X5" s="381"/>
      <c r="Y5" s="834" t="s">
        <v>153</v>
      </c>
      <c r="Z5" s="828"/>
      <c r="AA5" s="828"/>
      <c r="AB5" s="828"/>
      <c r="AC5" s="829"/>
      <c r="AD5" s="381"/>
      <c r="AE5" s="834" t="s">
        <v>338</v>
      </c>
      <c r="AF5" s="828"/>
      <c r="AG5" s="828"/>
      <c r="AH5" s="828"/>
      <c r="AI5" s="829"/>
      <c r="AJ5" s="381"/>
      <c r="AK5" s="834" t="s">
        <v>339</v>
      </c>
      <c r="AL5" s="828"/>
      <c r="AM5" s="828"/>
      <c r="AN5" s="828"/>
      <c r="AO5" s="829"/>
      <c r="AP5" s="381"/>
      <c r="AQ5" s="827" t="s">
        <v>507</v>
      </c>
      <c r="AR5" s="828"/>
      <c r="AS5" s="828"/>
      <c r="AT5" s="828"/>
      <c r="AU5" s="829"/>
      <c r="AV5" s="834" t="s">
        <v>200</v>
      </c>
      <c r="AW5" s="828"/>
      <c r="AX5" s="828"/>
      <c r="AY5" s="828"/>
      <c r="AZ5" s="829"/>
      <c r="BA5" s="834" t="s">
        <v>201</v>
      </c>
      <c r="BB5" s="828"/>
      <c r="BC5" s="828"/>
      <c r="BD5" s="828"/>
      <c r="BE5" s="829"/>
      <c r="BF5" s="834" t="s">
        <v>203</v>
      </c>
      <c r="BG5" s="828"/>
      <c r="BH5" s="828"/>
      <c r="BI5" s="828"/>
      <c r="BJ5" s="829"/>
      <c r="BK5" s="827" t="s">
        <v>216</v>
      </c>
      <c r="BL5" s="828"/>
      <c r="BM5" s="828"/>
      <c r="BN5" s="828"/>
      <c r="BO5" s="829"/>
      <c r="BP5" s="827" t="s">
        <v>512</v>
      </c>
      <c r="BQ5" s="828"/>
      <c r="BR5" s="828"/>
      <c r="BS5" s="828"/>
      <c r="BT5" s="829"/>
    </row>
    <row r="6" spans="1:72" s="6" customFormat="1" ht="51" customHeight="1" thickBot="1" x14ac:dyDescent="0.3">
      <c r="A6" s="61"/>
      <c r="B6" s="359"/>
      <c r="C6" s="359"/>
      <c r="D6" s="359"/>
      <c r="E6" s="61"/>
      <c r="F6" s="359"/>
      <c r="G6" s="830" t="s">
        <v>1</v>
      </c>
      <c r="H6" s="831"/>
      <c r="I6" s="831"/>
      <c r="J6" s="831"/>
      <c r="K6" s="833"/>
      <c r="L6" s="382"/>
      <c r="M6" s="830" t="s">
        <v>12</v>
      </c>
      <c r="N6" s="831"/>
      <c r="O6" s="831"/>
      <c r="P6" s="831"/>
      <c r="Q6" s="832"/>
      <c r="R6" s="382"/>
      <c r="S6" s="830" t="s">
        <v>12</v>
      </c>
      <c r="T6" s="831"/>
      <c r="U6" s="831"/>
      <c r="V6" s="831"/>
      <c r="W6" s="832"/>
      <c r="X6" s="382"/>
      <c r="Y6" s="830" t="s">
        <v>202</v>
      </c>
      <c r="Z6" s="831"/>
      <c r="AA6" s="831"/>
      <c r="AB6" s="831"/>
      <c r="AC6" s="832"/>
      <c r="AD6" s="382"/>
      <c r="AE6" s="830" t="s">
        <v>340</v>
      </c>
      <c r="AF6" s="831"/>
      <c r="AG6" s="831"/>
      <c r="AH6" s="831"/>
      <c r="AI6" s="832"/>
      <c r="AJ6" s="382"/>
      <c r="AK6" s="830" t="s">
        <v>341</v>
      </c>
      <c r="AL6" s="831"/>
      <c r="AM6" s="831"/>
      <c r="AN6" s="831"/>
      <c r="AO6" s="832"/>
      <c r="AP6" s="382"/>
      <c r="AQ6" s="830" t="s">
        <v>361</v>
      </c>
      <c r="AR6" s="831"/>
      <c r="AS6" s="831"/>
      <c r="AT6" s="831"/>
      <c r="AU6" s="832"/>
      <c r="AV6" s="838" t="s">
        <v>343</v>
      </c>
      <c r="AW6" s="838"/>
      <c r="AX6" s="838"/>
      <c r="AY6" s="839"/>
      <c r="AZ6" s="841"/>
      <c r="BA6" s="837" t="s">
        <v>182</v>
      </c>
      <c r="BB6" s="838"/>
      <c r="BC6" s="838"/>
      <c r="BD6" s="839"/>
      <c r="BE6" s="840"/>
      <c r="BF6" s="837" t="s">
        <v>182</v>
      </c>
      <c r="BG6" s="838"/>
      <c r="BH6" s="838"/>
      <c r="BI6" s="839"/>
      <c r="BJ6" s="840"/>
      <c r="BK6" s="837" t="s">
        <v>344</v>
      </c>
      <c r="BL6" s="838"/>
      <c r="BM6" s="838"/>
      <c r="BN6" s="839"/>
      <c r="BO6" s="840"/>
      <c r="BP6" s="837" t="s">
        <v>344</v>
      </c>
      <c r="BQ6" s="838"/>
      <c r="BR6" s="838"/>
      <c r="BS6" s="839"/>
      <c r="BT6" s="840"/>
    </row>
    <row r="7" spans="1:72" x14ac:dyDescent="0.25">
      <c r="A7" s="204"/>
      <c r="B7" s="749" t="s">
        <v>508</v>
      </c>
      <c r="C7" s="716"/>
      <c r="D7" s="717"/>
      <c r="E7" s="320" t="s">
        <v>0</v>
      </c>
      <c r="F7" s="360"/>
      <c r="G7" s="842">
        <v>100</v>
      </c>
      <c r="H7" s="843"/>
      <c r="I7" s="843"/>
      <c r="J7" s="844"/>
      <c r="K7" s="845"/>
      <c r="L7" s="383"/>
      <c r="M7" s="842">
        <v>0</v>
      </c>
      <c r="N7" s="843"/>
      <c r="O7" s="843"/>
      <c r="P7" s="844"/>
      <c r="Q7" s="845"/>
      <c r="R7" s="383"/>
      <c r="S7" s="842">
        <v>0</v>
      </c>
      <c r="T7" s="843"/>
      <c r="U7" s="843"/>
      <c r="V7" s="844"/>
      <c r="W7" s="845"/>
      <c r="X7" s="383"/>
      <c r="Y7" s="842">
        <v>0</v>
      </c>
      <c r="Z7" s="843"/>
      <c r="AA7" s="843"/>
      <c r="AB7" s="844"/>
      <c r="AC7" s="845"/>
      <c r="AD7" s="383"/>
      <c r="AE7" s="842">
        <v>0</v>
      </c>
      <c r="AF7" s="843"/>
      <c r="AG7" s="843"/>
      <c r="AH7" s="844"/>
      <c r="AI7" s="845"/>
      <c r="AJ7" s="383"/>
      <c r="AK7" s="842">
        <v>0</v>
      </c>
      <c r="AL7" s="843"/>
      <c r="AM7" s="843"/>
      <c r="AN7" s="844"/>
      <c r="AO7" s="845"/>
      <c r="AP7" s="383"/>
      <c r="AQ7" s="842">
        <v>0</v>
      </c>
      <c r="AR7" s="843"/>
      <c r="AS7" s="843"/>
      <c r="AT7" s="844"/>
      <c r="AU7" s="845"/>
      <c r="AV7" s="804">
        <v>7</v>
      </c>
      <c r="AW7" s="804"/>
      <c r="AX7" s="804"/>
      <c r="AY7" s="712"/>
      <c r="AZ7" s="712"/>
      <c r="BA7" s="803">
        <v>4</v>
      </c>
      <c r="BB7" s="804"/>
      <c r="BC7" s="804"/>
      <c r="BD7" s="732"/>
      <c r="BE7" s="733"/>
      <c r="BF7" s="803">
        <v>0</v>
      </c>
      <c r="BG7" s="804"/>
      <c r="BH7" s="804"/>
      <c r="BI7" s="732"/>
      <c r="BJ7" s="733"/>
      <c r="BK7" s="803">
        <v>4</v>
      </c>
      <c r="BL7" s="804"/>
      <c r="BM7" s="804"/>
      <c r="BN7" s="732"/>
      <c r="BO7" s="733"/>
      <c r="BP7" s="803">
        <v>4</v>
      </c>
      <c r="BQ7" s="804"/>
      <c r="BR7" s="804"/>
      <c r="BS7" s="732"/>
      <c r="BT7" s="733"/>
    </row>
    <row r="8" spans="1:72" x14ac:dyDescent="0.25">
      <c r="A8" s="204"/>
      <c r="B8" s="721"/>
      <c r="C8" s="750"/>
      <c r="D8" s="723"/>
      <c r="E8" s="321" t="s">
        <v>346</v>
      </c>
      <c r="F8" s="361"/>
      <c r="G8" s="741">
        <v>0</v>
      </c>
      <c r="H8" s="742"/>
      <c r="I8" s="742"/>
      <c r="J8" s="743"/>
      <c r="K8" s="744"/>
      <c r="L8" s="384"/>
      <c r="M8" s="741">
        <v>100</v>
      </c>
      <c r="N8" s="742"/>
      <c r="O8" s="742"/>
      <c r="P8" s="743"/>
      <c r="Q8" s="744"/>
      <c r="R8" s="384"/>
      <c r="S8" s="741">
        <v>0</v>
      </c>
      <c r="T8" s="742"/>
      <c r="U8" s="742"/>
      <c r="V8" s="743"/>
      <c r="W8" s="744"/>
      <c r="X8" s="384"/>
      <c r="Y8" s="741">
        <v>0</v>
      </c>
      <c r="Z8" s="742"/>
      <c r="AA8" s="742"/>
      <c r="AB8" s="743"/>
      <c r="AC8" s="744"/>
      <c r="AD8" s="384"/>
      <c r="AE8" s="741">
        <v>0</v>
      </c>
      <c r="AF8" s="742"/>
      <c r="AG8" s="742"/>
      <c r="AH8" s="743"/>
      <c r="AI8" s="744"/>
      <c r="AJ8" s="384"/>
      <c r="AK8" s="741">
        <v>0</v>
      </c>
      <c r="AL8" s="742"/>
      <c r="AM8" s="742"/>
      <c r="AN8" s="743"/>
      <c r="AO8" s="744"/>
      <c r="AP8" s="384"/>
      <c r="AQ8" s="741">
        <v>0</v>
      </c>
      <c r="AR8" s="742"/>
      <c r="AS8" s="742"/>
      <c r="AT8" s="743"/>
      <c r="AU8" s="744"/>
      <c r="AV8" s="808">
        <v>0.75</v>
      </c>
      <c r="AW8" s="808"/>
      <c r="AX8" s="808"/>
      <c r="AY8" s="714"/>
      <c r="AZ8" s="714"/>
      <c r="BA8" s="787">
        <v>11</v>
      </c>
      <c r="BB8" s="808"/>
      <c r="BC8" s="808"/>
      <c r="BD8" s="809"/>
      <c r="BE8" s="810"/>
      <c r="BF8" s="787">
        <v>0</v>
      </c>
      <c r="BG8" s="808"/>
      <c r="BH8" s="808"/>
      <c r="BI8" s="809"/>
      <c r="BJ8" s="810"/>
      <c r="BK8" s="787">
        <v>11</v>
      </c>
      <c r="BL8" s="808"/>
      <c r="BM8" s="808"/>
      <c r="BN8" s="809"/>
      <c r="BO8" s="810"/>
      <c r="BP8" s="787">
        <v>11</v>
      </c>
      <c r="BQ8" s="808"/>
      <c r="BR8" s="808"/>
      <c r="BS8" s="809"/>
      <c r="BT8" s="810"/>
    </row>
    <row r="9" spans="1:72" x14ac:dyDescent="0.25">
      <c r="A9" s="204"/>
      <c r="B9" s="721"/>
      <c r="C9" s="750"/>
      <c r="D9" s="723"/>
      <c r="E9" s="322" t="s">
        <v>359</v>
      </c>
      <c r="F9" s="362"/>
      <c r="G9" s="741">
        <v>0</v>
      </c>
      <c r="H9" s="742"/>
      <c r="I9" s="742"/>
      <c r="J9" s="743"/>
      <c r="K9" s="744"/>
      <c r="L9" s="384"/>
      <c r="M9" s="741">
        <v>0</v>
      </c>
      <c r="N9" s="742"/>
      <c r="O9" s="742"/>
      <c r="P9" s="743"/>
      <c r="Q9" s="744"/>
      <c r="R9" s="384"/>
      <c r="S9" s="741">
        <v>100</v>
      </c>
      <c r="T9" s="742"/>
      <c r="U9" s="742"/>
      <c r="V9" s="743"/>
      <c r="W9" s="744"/>
      <c r="X9" s="384"/>
      <c r="Y9" s="741">
        <v>0</v>
      </c>
      <c r="Z9" s="742"/>
      <c r="AA9" s="742"/>
      <c r="AB9" s="743"/>
      <c r="AC9" s="744"/>
      <c r="AD9" s="384"/>
      <c r="AE9" s="741">
        <v>0</v>
      </c>
      <c r="AF9" s="742"/>
      <c r="AG9" s="742"/>
      <c r="AH9" s="743"/>
      <c r="AI9" s="744"/>
      <c r="AJ9" s="384"/>
      <c r="AK9" s="741">
        <v>0</v>
      </c>
      <c r="AL9" s="742"/>
      <c r="AM9" s="742"/>
      <c r="AN9" s="743"/>
      <c r="AO9" s="744"/>
      <c r="AP9" s="384"/>
      <c r="AQ9" s="741">
        <v>0</v>
      </c>
      <c r="AR9" s="742"/>
      <c r="AS9" s="742"/>
      <c r="AT9" s="743"/>
      <c r="AU9" s="744"/>
      <c r="AV9" s="808">
        <v>0</v>
      </c>
      <c r="AW9" s="808"/>
      <c r="AX9" s="808"/>
      <c r="AY9" s="714"/>
      <c r="AZ9" s="714"/>
      <c r="BA9" s="787">
        <v>0</v>
      </c>
      <c r="BB9" s="808"/>
      <c r="BC9" s="808"/>
      <c r="BD9" s="809"/>
      <c r="BE9" s="810"/>
      <c r="BF9" s="787">
        <v>0</v>
      </c>
      <c r="BG9" s="808"/>
      <c r="BH9" s="808"/>
      <c r="BI9" s="809"/>
      <c r="BJ9" s="810"/>
      <c r="BK9" s="787">
        <v>0</v>
      </c>
      <c r="BL9" s="808"/>
      <c r="BM9" s="808"/>
      <c r="BN9" s="809"/>
      <c r="BO9" s="810"/>
      <c r="BP9" s="787">
        <v>0</v>
      </c>
      <c r="BQ9" s="808"/>
      <c r="BR9" s="808"/>
      <c r="BS9" s="809"/>
      <c r="BT9" s="810"/>
    </row>
    <row r="10" spans="1:72" x14ac:dyDescent="0.25">
      <c r="A10" s="204"/>
      <c r="B10" s="721"/>
      <c r="C10" s="750"/>
      <c r="D10" s="723"/>
      <c r="E10" s="322" t="s">
        <v>193</v>
      </c>
      <c r="F10" s="362"/>
      <c r="G10" s="737">
        <v>0</v>
      </c>
      <c r="H10" s="738"/>
      <c r="I10" s="738"/>
      <c r="J10" s="739"/>
      <c r="K10" s="740"/>
      <c r="L10" s="385"/>
      <c r="M10" s="737">
        <v>0</v>
      </c>
      <c r="N10" s="738"/>
      <c r="O10" s="738"/>
      <c r="P10" s="739"/>
      <c r="Q10" s="740"/>
      <c r="R10" s="385"/>
      <c r="S10" s="737">
        <v>0</v>
      </c>
      <c r="T10" s="738"/>
      <c r="U10" s="738"/>
      <c r="V10" s="739"/>
      <c r="W10" s="740"/>
      <c r="X10" s="385"/>
      <c r="Y10" s="737">
        <v>100</v>
      </c>
      <c r="Z10" s="738"/>
      <c r="AA10" s="738"/>
      <c r="AB10" s="739"/>
      <c r="AC10" s="740"/>
      <c r="AD10" s="385"/>
      <c r="AE10" s="737">
        <v>0</v>
      </c>
      <c r="AF10" s="738"/>
      <c r="AG10" s="738"/>
      <c r="AH10" s="739"/>
      <c r="AI10" s="740"/>
      <c r="AJ10" s="385"/>
      <c r="AK10" s="737">
        <v>0</v>
      </c>
      <c r="AL10" s="738"/>
      <c r="AM10" s="738"/>
      <c r="AN10" s="739"/>
      <c r="AO10" s="740"/>
      <c r="AP10" s="385"/>
      <c r="AQ10" s="737">
        <v>0</v>
      </c>
      <c r="AR10" s="738"/>
      <c r="AS10" s="738"/>
      <c r="AT10" s="739"/>
      <c r="AU10" s="740"/>
      <c r="AV10" s="805">
        <v>0</v>
      </c>
      <c r="AW10" s="805"/>
      <c r="AX10" s="805"/>
      <c r="AY10" s="790"/>
      <c r="AZ10" s="790"/>
      <c r="BA10" s="789">
        <v>0</v>
      </c>
      <c r="BB10" s="805"/>
      <c r="BC10" s="805"/>
      <c r="BD10" s="806"/>
      <c r="BE10" s="807"/>
      <c r="BF10" s="789">
        <v>15</v>
      </c>
      <c r="BG10" s="805"/>
      <c r="BH10" s="805"/>
      <c r="BI10" s="806"/>
      <c r="BJ10" s="807"/>
      <c r="BK10" s="789">
        <v>0</v>
      </c>
      <c r="BL10" s="805"/>
      <c r="BM10" s="805"/>
      <c r="BN10" s="806"/>
      <c r="BO10" s="807"/>
      <c r="BP10" s="789">
        <v>0</v>
      </c>
      <c r="BQ10" s="805"/>
      <c r="BR10" s="805"/>
      <c r="BS10" s="806"/>
      <c r="BT10" s="807"/>
    </row>
    <row r="11" spans="1:72" x14ac:dyDescent="0.25">
      <c r="A11" s="204"/>
      <c r="B11" s="721"/>
      <c r="C11" s="750"/>
      <c r="D11" s="723"/>
      <c r="E11" s="322" t="s">
        <v>338</v>
      </c>
      <c r="F11" s="362"/>
      <c r="G11" s="737">
        <v>0</v>
      </c>
      <c r="H11" s="738"/>
      <c r="I11" s="738"/>
      <c r="J11" s="739"/>
      <c r="K11" s="740"/>
      <c r="L11" s="385"/>
      <c r="M11" s="737">
        <v>0</v>
      </c>
      <c r="N11" s="738"/>
      <c r="O11" s="738"/>
      <c r="P11" s="739"/>
      <c r="Q11" s="740"/>
      <c r="R11" s="385"/>
      <c r="S11" s="737">
        <v>0</v>
      </c>
      <c r="T11" s="738"/>
      <c r="U11" s="738"/>
      <c r="V11" s="739"/>
      <c r="W11" s="740"/>
      <c r="X11" s="385"/>
      <c r="Y11" s="737">
        <v>0</v>
      </c>
      <c r="Z11" s="738"/>
      <c r="AA11" s="738"/>
      <c r="AB11" s="739"/>
      <c r="AC11" s="740"/>
      <c r="AD11" s="385"/>
      <c r="AE11" s="737">
        <v>100</v>
      </c>
      <c r="AF11" s="738"/>
      <c r="AG11" s="738"/>
      <c r="AH11" s="739"/>
      <c r="AI11" s="740"/>
      <c r="AJ11" s="385"/>
      <c r="AK11" s="737">
        <v>0</v>
      </c>
      <c r="AL11" s="738"/>
      <c r="AM11" s="738"/>
      <c r="AN11" s="739"/>
      <c r="AO11" s="740"/>
      <c r="AP11" s="385"/>
      <c r="AQ11" s="737">
        <v>0</v>
      </c>
      <c r="AR11" s="738"/>
      <c r="AS11" s="738"/>
      <c r="AT11" s="739"/>
      <c r="AU11" s="740"/>
      <c r="AV11" s="805">
        <v>3</v>
      </c>
      <c r="AW11" s="805"/>
      <c r="AX11" s="805"/>
      <c r="AY11" s="790"/>
      <c r="AZ11" s="790"/>
      <c r="BA11" s="789">
        <v>0</v>
      </c>
      <c r="BB11" s="805"/>
      <c r="BC11" s="805"/>
      <c r="BD11" s="806"/>
      <c r="BE11" s="807"/>
      <c r="BF11" s="789">
        <v>0</v>
      </c>
      <c r="BG11" s="805"/>
      <c r="BH11" s="805"/>
      <c r="BI11" s="806"/>
      <c r="BJ11" s="807"/>
      <c r="BK11" s="789">
        <v>0</v>
      </c>
      <c r="BL11" s="805"/>
      <c r="BM11" s="805"/>
      <c r="BN11" s="806"/>
      <c r="BO11" s="807"/>
      <c r="BP11" s="789">
        <v>0</v>
      </c>
      <c r="BQ11" s="805"/>
      <c r="BR11" s="805"/>
      <c r="BS11" s="806"/>
      <c r="BT11" s="807"/>
    </row>
    <row r="12" spans="1:72" ht="18.75" thickBot="1" x14ac:dyDescent="0.3">
      <c r="A12" s="204"/>
      <c r="B12" s="718"/>
      <c r="C12" s="719"/>
      <c r="D12" s="720"/>
      <c r="E12" s="322" t="s">
        <v>339</v>
      </c>
      <c r="F12" s="362"/>
      <c r="G12" s="734">
        <v>0</v>
      </c>
      <c r="H12" s="735"/>
      <c r="I12" s="735"/>
      <c r="J12" s="735"/>
      <c r="K12" s="736"/>
      <c r="L12" s="384"/>
      <c r="M12" s="734">
        <v>0</v>
      </c>
      <c r="N12" s="735"/>
      <c r="O12" s="735"/>
      <c r="P12" s="735"/>
      <c r="Q12" s="736"/>
      <c r="R12" s="384"/>
      <c r="S12" s="734">
        <v>0</v>
      </c>
      <c r="T12" s="735"/>
      <c r="U12" s="735"/>
      <c r="V12" s="735"/>
      <c r="W12" s="736"/>
      <c r="X12" s="384"/>
      <c r="Y12" s="734">
        <v>0</v>
      </c>
      <c r="Z12" s="735"/>
      <c r="AA12" s="735"/>
      <c r="AB12" s="735"/>
      <c r="AC12" s="736"/>
      <c r="AD12" s="384"/>
      <c r="AE12" s="734">
        <v>0</v>
      </c>
      <c r="AF12" s="735"/>
      <c r="AG12" s="735"/>
      <c r="AH12" s="735"/>
      <c r="AI12" s="736"/>
      <c r="AJ12" s="384"/>
      <c r="AK12" s="734">
        <v>100</v>
      </c>
      <c r="AL12" s="735"/>
      <c r="AM12" s="735"/>
      <c r="AN12" s="735"/>
      <c r="AO12" s="736"/>
      <c r="AP12" s="384"/>
      <c r="AQ12" s="734">
        <v>0</v>
      </c>
      <c r="AR12" s="735"/>
      <c r="AS12" s="735"/>
      <c r="AT12" s="735"/>
      <c r="AU12" s="736"/>
      <c r="AV12" s="805">
        <v>3</v>
      </c>
      <c r="AW12" s="805"/>
      <c r="AX12" s="805"/>
      <c r="AY12" s="790"/>
      <c r="AZ12" s="790"/>
      <c r="BA12" s="789">
        <v>0</v>
      </c>
      <c r="BB12" s="805"/>
      <c r="BC12" s="805"/>
      <c r="BD12" s="806"/>
      <c r="BE12" s="807"/>
      <c r="BF12" s="789">
        <v>0</v>
      </c>
      <c r="BG12" s="805"/>
      <c r="BH12" s="805"/>
      <c r="BI12" s="806"/>
      <c r="BJ12" s="807"/>
      <c r="BK12" s="789">
        <v>0</v>
      </c>
      <c r="BL12" s="805"/>
      <c r="BM12" s="805"/>
      <c r="BN12" s="806"/>
      <c r="BO12" s="807"/>
      <c r="BP12" s="789">
        <v>0</v>
      </c>
      <c r="BQ12" s="805"/>
      <c r="BR12" s="805"/>
      <c r="BS12" s="806"/>
      <c r="BT12" s="807"/>
    </row>
    <row r="13" spans="1:72" ht="18.75" thickBot="1" x14ac:dyDescent="0.3">
      <c r="B13" s="358"/>
      <c r="C13" s="358"/>
      <c r="D13" s="358"/>
      <c r="E13" s="168" t="s">
        <v>510</v>
      </c>
      <c r="F13" s="363"/>
      <c r="G13" s="780">
        <f>SUM(G7:K12)</f>
        <v>100</v>
      </c>
      <c r="H13" s="781"/>
      <c r="I13" s="781"/>
      <c r="J13" s="781"/>
      <c r="K13" s="782"/>
      <c r="L13" s="386"/>
      <c r="M13" s="780">
        <f>SUM(M7:Q12)</f>
        <v>100</v>
      </c>
      <c r="N13" s="781"/>
      <c r="O13" s="781"/>
      <c r="P13" s="781"/>
      <c r="Q13" s="782"/>
      <c r="R13" s="386"/>
      <c r="S13" s="780">
        <f>SUM(S7:W12)</f>
        <v>100</v>
      </c>
      <c r="T13" s="781"/>
      <c r="U13" s="781"/>
      <c r="V13" s="781"/>
      <c r="W13" s="782"/>
      <c r="X13" s="386"/>
      <c r="Y13" s="780">
        <f>SUM(Y7:AC12)</f>
        <v>100</v>
      </c>
      <c r="Z13" s="781"/>
      <c r="AA13" s="781"/>
      <c r="AB13" s="781"/>
      <c r="AC13" s="782"/>
      <c r="AD13" s="386"/>
      <c r="AE13" s="780">
        <f>SUM(AE7:AI12)</f>
        <v>100</v>
      </c>
      <c r="AF13" s="781"/>
      <c r="AG13" s="781"/>
      <c r="AH13" s="781"/>
      <c r="AI13" s="782"/>
      <c r="AJ13" s="386"/>
      <c r="AK13" s="780">
        <f>SUM(AK7:AO12)</f>
        <v>100</v>
      </c>
      <c r="AL13" s="781"/>
      <c r="AM13" s="781"/>
      <c r="AN13" s="781"/>
      <c r="AO13" s="782"/>
      <c r="AP13" s="386"/>
      <c r="AQ13" s="780">
        <f>SUM(AQ7:AU12)</f>
        <v>0</v>
      </c>
      <c r="AR13" s="781"/>
      <c r="AS13" s="781"/>
      <c r="AT13" s="781"/>
      <c r="AU13" s="782"/>
      <c r="AV13" s="780">
        <f>SUM(AV7:AZ12)</f>
        <v>13.75</v>
      </c>
      <c r="AW13" s="781"/>
      <c r="AX13" s="781"/>
      <c r="AY13" s="781"/>
      <c r="AZ13" s="782"/>
      <c r="BA13" s="780">
        <f>SUM(BA7:BE12)</f>
        <v>15</v>
      </c>
      <c r="BB13" s="781"/>
      <c r="BC13" s="781"/>
      <c r="BD13" s="781"/>
      <c r="BE13" s="782"/>
      <c r="BF13" s="780">
        <f>SUM(BF7:BJ12)</f>
        <v>15</v>
      </c>
      <c r="BG13" s="781"/>
      <c r="BH13" s="781"/>
      <c r="BI13" s="781"/>
      <c r="BJ13" s="782"/>
      <c r="BK13" s="780">
        <f>SUM(BK7:BO12)</f>
        <v>15</v>
      </c>
      <c r="BL13" s="781"/>
      <c r="BM13" s="781"/>
      <c r="BN13" s="781"/>
      <c r="BO13" s="782"/>
      <c r="BP13" s="780">
        <f>SUM(BP7:BT12)</f>
        <v>15</v>
      </c>
      <c r="BQ13" s="781"/>
      <c r="BR13" s="781"/>
      <c r="BS13" s="781"/>
      <c r="BT13" s="782"/>
    </row>
    <row r="14" spans="1:72" x14ac:dyDescent="0.25">
      <c r="A14" s="204"/>
      <c r="B14" s="749" t="s">
        <v>509</v>
      </c>
      <c r="C14" s="751"/>
      <c r="D14" s="752"/>
      <c r="E14" s="322" t="s">
        <v>408</v>
      </c>
      <c r="F14" s="362"/>
      <c r="G14" s="734">
        <v>0</v>
      </c>
      <c r="H14" s="735"/>
      <c r="I14" s="735"/>
      <c r="J14" s="735"/>
      <c r="K14" s="736"/>
      <c r="L14" s="384"/>
      <c r="M14" s="734">
        <v>0</v>
      </c>
      <c r="N14" s="735"/>
      <c r="O14" s="735"/>
      <c r="P14" s="735"/>
      <c r="Q14" s="736"/>
      <c r="R14" s="384"/>
      <c r="S14" s="734">
        <v>0</v>
      </c>
      <c r="T14" s="735"/>
      <c r="U14" s="735"/>
      <c r="V14" s="735"/>
      <c r="W14" s="736"/>
      <c r="X14" s="384"/>
      <c r="Y14" s="734">
        <v>0</v>
      </c>
      <c r="Z14" s="735"/>
      <c r="AA14" s="735"/>
      <c r="AB14" s="735"/>
      <c r="AC14" s="736"/>
      <c r="AD14" s="384"/>
      <c r="AE14" s="734">
        <v>0</v>
      </c>
      <c r="AF14" s="735"/>
      <c r="AG14" s="735"/>
      <c r="AH14" s="735"/>
      <c r="AI14" s="736"/>
      <c r="AJ14" s="384"/>
      <c r="AK14" s="734">
        <v>0</v>
      </c>
      <c r="AL14" s="735"/>
      <c r="AM14" s="735"/>
      <c r="AN14" s="735"/>
      <c r="AO14" s="736"/>
      <c r="AP14" s="384"/>
      <c r="AQ14" s="734">
        <v>0</v>
      </c>
      <c r="AR14" s="735"/>
      <c r="AS14" s="735"/>
      <c r="AT14" s="735"/>
      <c r="AU14" s="736"/>
      <c r="AV14" s="787">
        <v>20</v>
      </c>
      <c r="AW14" s="714"/>
      <c r="AX14" s="714"/>
      <c r="AY14" s="714"/>
      <c r="AZ14" s="788"/>
      <c r="BA14" s="787">
        <v>20</v>
      </c>
      <c r="BB14" s="714"/>
      <c r="BC14" s="714"/>
      <c r="BD14" s="714"/>
      <c r="BE14" s="788"/>
      <c r="BF14" s="787">
        <v>20</v>
      </c>
      <c r="BG14" s="714"/>
      <c r="BH14" s="714"/>
      <c r="BI14" s="714"/>
      <c r="BJ14" s="788"/>
      <c r="BK14" s="787">
        <v>20</v>
      </c>
      <c r="BL14" s="714"/>
      <c r="BM14" s="714"/>
      <c r="BN14" s="714"/>
      <c r="BO14" s="788"/>
      <c r="BP14" s="787">
        <v>0</v>
      </c>
      <c r="BQ14" s="714"/>
      <c r="BR14" s="714"/>
      <c r="BS14" s="714"/>
      <c r="BT14" s="788"/>
    </row>
    <row r="15" spans="1:72" x14ac:dyDescent="0.25">
      <c r="A15" s="204"/>
      <c r="B15" s="753"/>
      <c r="C15" s="754"/>
      <c r="D15" s="755"/>
      <c r="E15" s="322" t="s">
        <v>409</v>
      </c>
      <c r="F15" s="362"/>
      <c r="G15" s="734">
        <v>0</v>
      </c>
      <c r="H15" s="735"/>
      <c r="I15" s="735"/>
      <c r="J15" s="735"/>
      <c r="K15" s="736"/>
      <c r="L15" s="384"/>
      <c r="M15" s="734">
        <v>0</v>
      </c>
      <c r="N15" s="735"/>
      <c r="O15" s="735"/>
      <c r="P15" s="735"/>
      <c r="Q15" s="736"/>
      <c r="R15" s="384"/>
      <c r="S15" s="734">
        <v>0</v>
      </c>
      <c r="T15" s="735"/>
      <c r="U15" s="735"/>
      <c r="V15" s="735"/>
      <c r="W15" s="736"/>
      <c r="X15" s="384"/>
      <c r="Y15" s="734">
        <v>0</v>
      </c>
      <c r="Z15" s="735"/>
      <c r="AA15" s="735"/>
      <c r="AB15" s="735"/>
      <c r="AC15" s="736"/>
      <c r="AD15" s="384"/>
      <c r="AE15" s="734">
        <v>0</v>
      </c>
      <c r="AF15" s="735"/>
      <c r="AG15" s="735"/>
      <c r="AH15" s="735"/>
      <c r="AI15" s="736"/>
      <c r="AJ15" s="384"/>
      <c r="AK15" s="734">
        <v>0</v>
      </c>
      <c r="AL15" s="735"/>
      <c r="AM15" s="735"/>
      <c r="AN15" s="735"/>
      <c r="AO15" s="736"/>
      <c r="AP15" s="384"/>
      <c r="AQ15" s="734">
        <v>0</v>
      </c>
      <c r="AR15" s="735"/>
      <c r="AS15" s="735"/>
      <c r="AT15" s="735"/>
      <c r="AU15" s="736"/>
      <c r="AV15" s="787">
        <v>6.25</v>
      </c>
      <c r="AW15" s="714"/>
      <c r="AX15" s="714"/>
      <c r="AY15" s="714"/>
      <c r="AZ15" s="788"/>
      <c r="BA15" s="787">
        <v>10</v>
      </c>
      <c r="BB15" s="714"/>
      <c r="BC15" s="714"/>
      <c r="BD15" s="714"/>
      <c r="BE15" s="788"/>
      <c r="BF15" s="787">
        <v>10</v>
      </c>
      <c r="BG15" s="714"/>
      <c r="BH15" s="714"/>
      <c r="BI15" s="714"/>
      <c r="BJ15" s="788"/>
      <c r="BK15" s="787">
        <v>10</v>
      </c>
      <c r="BL15" s="714"/>
      <c r="BM15" s="714"/>
      <c r="BN15" s="714"/>
      <c r="BO15" s="788"/>
      <c r="BP15" s="787">
        <v>5</v>
      </c>
      <c r="BQ15" s="714"/>
      <c r="BR15" s="714"/>
      <c r="BS15" s="714"/>
      <c r="BT15" s="788"/>
    </row>
    <row r="16" spans="1:72" x14ac:dyDescent="0.25">
      <c r="A16" s="204"/>
      <c r="B16" s="753"/>
      <c r="C16" s="754"/>
      <c r="D16" s="755"/>
      <c r="E16" s="322" t="s">
        <v>412</v>
      </c>
      <c r="F16" s="362"/>
      <c r="G16" s="734">
        <v>0</v>
      </c>
      <c r="H16" s="735"/>
      <c r="I16" s="735"/>
      <c r="J16" s="735"/>
      <c r="K16" s="736"/>
      <c r="L16" s="384"/>
      <c r="M16" s="734">
        <v>0</v>
      </c>
      <c r="N16" s="735"/>
      <c r="O16" s="735"/>
      <c r="P16" s="735"/>
      <c r="Q16" s="736"/>
      <c r="R16" s="384"/>
      <c r="S16" s="734">
        <v>0</v>
      </c>
      <c r="T16" s="735"/>
      <c r="U16" s="735"/>
      <c r="V16" s="735"/>
      <c r="W16" s="736"/>
      <c r="X16" s="384"/>
      <c r="Y16" s="734">
        <v>0</v>
      </c>
      <c r="Z16" s="735"/>
      <c r="AA16" s="735"/>
      <c r="AB16" s="735"/>
      <c r="AC16" s="736"/>
      <c r="AD16" s="384"/>
      <c r="AE16" s="734">
        <v>0</v>
      </c>
      <c r="AF16" s="735"/>
      <c r="AG16" s="735"/>
      <c r="AH16" s="735"/>
      <c r="AI16" s="736"/>
      <c r="AJ16" s="384"/>
      <c r="AK16" s="734">
        <v>0</v>
      </c>
      <c r="AL16" s="735"/>
      <c r="AM16" s="735"/>
      <c r="AN16" s="735"/>
      <c r="AO16" s="736"/>
      <c r="AP16" s="384"/>
      <c r="AQ16" s="734">
        <v>0</v>
      </c>
      <c r="AR16" s="735"/>
      <c r="AS16" s="735"/>
      <c r="AT16" s="735"/>
      <c r="AU16" s="736"/>
      <c r="AV16" s="787">
        <v>0</v>
      </c>
      <c r="AW16" s="714"/>
      <c r="AX16" s="714"/>
      <c r="AY16" s="714"/>
      <c r="AZ16" s="788"/>
      <c r="BA16" s="787">
        <v>0</v>
      </c>
      <c r="BB16" s="714"/>
      <c r="BC16" s="714"/>
      <c r="BD16" s="714"/>
      <c r="BE16" s="788"/>
      <c r="BF16" s="787">
        <v>0</v>
      </c>
      <c r="BG16" s="714"/>
      <c r="BH16" s="714"/>
      <c r="BI16" s="714"/>
      <c r="BJ16" s="788"/>
      <c r="BK16" s="787">
        <v>0</v>
      </c>
      <c r="BL16" s="714"/>
      <c r="BM16" s="714"/>
      <c r="BN16" s="714"/>
      <c r="BO16" s="788"/>
      <c r="BP16" s="787">
        <v>0</v>
      </c>
      <c r="BQ16" s="714"/>
      <c r="BR16" s="714"/>
      <c r="BS16" s="714"/>
      <c r="BT16" s="788"/>
    </row>
    <row r="17" spans="1:75" ht="18.75" thickBot="1" x14ac:dyDescent="0.3">
      <c r="A17" s="204"/>
      <c r="B17" s="753"/>
      <c r="C17" s="754"/>
      <c r="D17" s="755"/>
      <c r="E17" s="322" t="s">
        <v>410</v>
      </c>
      <c r="F17" s="362"/>
      <c r="G17" s="734">
        <v>0</v>
      </c>
      <c r="H17" s="735"/>
      <c r="I17" s="735"/>
      <c r="J17" s="735"/>
      <c r="K17" s="736"/>
      <c r="L17" s="384"/>
      <c r="M17" s="734">
        <v>0</v>
      </c>
      <c r="N17" s="735"/>
      <c r="O17" s="735"/>
      <c r="P17" s="735"/>
      <c r="Q17" s="736"/>
      <c r="R17" s="384"/>
      <c r="S17" s="734">
        <v>0</v>
      </c>
      <c r="T17" s="735"/>
      <c r="U17" s="735"/>
      <c r="V17" s="735"/>
      <c r="W17" s="736"/>
      <c r="X17" s="384"/>
      <c r="Y17" s="734">
        <v>0</v>
      </c>
      <c r="Z17" s="735"/>
      <c r="AA17" s="735"/>
      <c r="AB17" s="735"/>
      <c r="AC17" s="736"/>
      <c r="AD17" s="384"/>
      <c r="AE17" s="734">
        <v>0</v>
      </c>
      <c r="AF17" s="735"/>
      <c r="AG17" s="735"/>
      <c r="AH17" s="735"/>
      <c r="AI17" s="736"/>
      <c r="AJ17" s="384"/>
      <c r="AK17" s="734">
        <v>0</v>
      </c>
      <c r="AL17" s="735"/>
      <c r="AM17" s="735"/>
      <c r="AN17" s="735"/>
      <c r="AO17" s="736"/>
      <c r="AP17" s="384"/>
      <c r="AQ17" s="734">
        <v>0</v>
      </c>
      <c r="AR17" s="735"/>
      <c r="AS17" s="735"/>
      <c r="AT17" s="735"/>
      <c r="AU17" s="736"/>
      <c r="AV17" s="789">
        <v>20</v>
      </c>
      <c r="AW17" s="790"/>
      <c r="AX17" s="790"/>
      <c r="AY17" s="790"/>
      <c r="AZ17" s="791"/>
      <c r="BA17" s="789">
        <v>15</v>
      </c>
      <c r="BB17" s="790"/>
      <c r="BC17" s="790"/>
      <c r="BD17" s="790"/>
      <c r="BE17" s="791"/>
      <c r="BF17" s="789">
        <v>15</v>
      </c>
      <c r="BG17" s="790"/>
      <c r="BH17" s="790"/>
      <c r="BI17" s="790"/>
      <c r="BJ17" s="791"/>
      <c r="BK17" s="789">
        <v>15</v>
      </c>
      <c r="BL17" s="790"/>
      <c r="BM17" s="790"/>
      <c r="BN17" s="790"/>
      <c r="BO17" s="791"/>
      <c r="BP17" s="789">
        <v>0</v>
      </c>
      <c r="BQ17" s="790"/>
      <c r="BR17" s="790"/>
      <c r="BS17" s="790"/>
      <c r="BT17" s="791"/>
    </row>
    <row r="18" spans="1:75" x14ac:dyDescent="0.25">
      <c r="A18" s="204"/>
      <c r="B18" s="753"/>
      <c r="C18" s="754"/>
      <c r="D18" s="755"/>
      <c r="E18" s="322" t="s">
        <v>411</v>
      </c>
      <c r="F18" s="362"/>
      <c r="G18" s="737">
        <v>0</v>
      </c>
      <c r="H18" s="738"/>
      <c r="I18" s="738"/>
      <c r="J18" s="739"/>
      <c r="K18" s="740"/>
      <c r="L18" s="385"/>
      <c r="M18" s="737">
        <v>0</v>
      </c>
      <c r="N18" s="738"/>
      <c r="O18" s="738"/>
      <c r="P18" s="739"/>
      <c r="Q18" s="740"/>
      <c r="R18" s="385"/>
      <c r="S18" s="737">
        <v>0</v>
      </c>
      <c r="T18" s="738"/>
      <c r="U18" s="738"/>
      <c r="V18" s="739"/>
      <c r="W18" s="740"/>
      <c r="X18" s="385"/>
      <c r="Y18" s="737">
        <v>0</v>
      </c>
      <c r="Z18" s="738"/>
      <c r="AA18" s="738"/>
      <c r="AB18" s="739"/>
      <c r="AC18" s="740"/>
      <c r="AD18" s="385"/>
      <c r="AE18" s="737">
        <v>0</v>
      </c>
      <c r="AF18" s="738"/>
      <c r="AG18" s="738"/>
      <c r="AH18" s="739"/>
      <c r="AI18" s="740"/>
      <c r="AJ18" s="385"/>
      <c r="AK18" s="737">
        <v>0</v>
      </c>
      <c r="AL18" s="738"/>
      <c r="AM18" s="738"/>
      <c r="AN18" s="739"/>
      <c r="AO18" s="740"/>
      <c r="AP18" s="385"/>
      <c r="AQ18" s="737">
        <v>0</v>
      </c>
      <c r="AR18" s="738"/>
      <c r="AS18" s="738"/>
      <c r="AT18" s="739"/>
      <c r="AU18" s="740"/>
      <c r="AV18" s="811">
        <v>20</v>
      </c>
      <c r="AW18" s="812"/>
      <c r="AX18" s="812"/>
      <c r="AY18" s="785"/>
      <c r="AZ18" s="786"/>
      <c r="BA18" s="811">
        <v>40</v>
      </c>
      <c r="BB18" s="812"/>
      <c r="BC18" s="812"/>
      <c r="BD18" s="785"/>
      <c r="BE18" s="786"/>
      <c r="BF18" s="811">
        <v>40</v>
      </c>
      <c r="BG18" s="812"/>
      <c r="BH18" s="812"/>
      <c r="BI18" s="785"/>
      <c r="BJ18" s="786"/>
      <c r="BK18" s="811">
        <v>40</v>
      </c>
      <c r="BL18" s="812"/>
      <c r="BM18" s="812"/>
      <c r="BN18" s="785"/>
      <c r="BO18" s="786"/>
      <c r="BP18" s="811"/>
      <c r="BQ18" s="812"/>
      <c r="BR18" s="812"/>
      <c r="BS18" s="785"/>
      <c r="BT18" s="786"/>
    </row>
    <row r="19" spans="1:75" ht="18.75" thickBot="1" x14ac:dyDescent="0.3">
      <c r="A19" s="204"/>
      <c r="B19" s="756"/>
      <c r="C19" s="757"/>
      <c r="D19" s="758"/>
      <c r="E19" s="323" t="s">
        <v>360</v>
      </c>
      <c r="F19" s="362"/>
      <c r="G19" s="737">
        <v>0</v>
      </c>
      <c r="H19" s="738"/>
      <c r="I19" s="738"/>
      <c r="J19" s="739"/>
      <c r="K19" s="740"/>
      <c r="L19" s="385"/>
      <c r="M19" s="737">
        <v>0</v>
      </c>
      <c r="N19" s="738"/>
      <c r="O19" s="738"/>
      <c r="P19" s="739"/>
      <c r="Q19" s="740"/>
      <c r="R19" s="385"/>
      <c r="S19" s="737">
        <v>0</v>
      </c>
      <c r="T19" s="738"/>
      <c r="U19" s="738"/>
      <c r="V19" s="739"/>
      <c r="W19" s="740"/>
      <c r="X19" s="385"/>
      <c r="Y19" s="737">
        <v>0</v>
      </c>
      <c r="Z19" s="738"/>
      <c r="AA19" s="738"/>
      <c r="AB19" s="739"/>
      <c r="AC19" s="740"/>
      <c r="AD19" s="385"/>
      <c r="AE19" s="737">
        <v>0</v>
      </c>
      <c r="AF19" s="738"/>
      <c r="AG19" s="738"/>
      <c r="AH19" s="739"/>
      <c r="AI19" s="740"/>
      <c r="AJ19" s="385"/>
      <c r="AK19" s="737">
        <v>0</v>
      </c>
      <c r="AL19" s="738"/>
      <c r="AM19" s="738"/>
      <c r="AN19" s="739"/>
      <c r="AO19" s="740"/>
      <c r="AP19" s="385"/>
      <c r="AQ19" s="737">
        <v>100</v>
      </c>
      <c r="AR19" s="738"/>
      <c r="AS19" s="738"/>
      <c r="AT19" s="739"/>
      <c r="AU19" s="740"/>
      <c r="AV19" s="792">
        <v>20</v>
      </c>
      <c r="AW19" s="793"/>
      <c r="AX19" s="793"/>
      <c r="AY19" s="794"/>
      <c r="AZ19" s="795"/>
      <c r="BA19" s="792">
        <v>0</v>
      </c>
      <c r="BB19" s="793"/>
      <c r="BC19" s="793"/>
      <c r="BD19" s="794"/>
      <c r="BE19" s="795"/>
      <c r="BF19" s="792">
        <v>0</v>
      </c>
      <c r="BG19" s="793"/>
      <c r="BH19" s="793"/>
      <c r="BI19" s="794"/>
      <c r="BJ19" s="795"/>
      <c r="BK19" s="792">
        <v>0</v>
      </c>
      <c r="BL19" s="793"/>
      <c r="BM19" s="793"/>
      <c r="BN19" s="794"/>
      <c r="BO19" s="795"/>
      <c r="BP19" s="792">
        <v>80</v>
      </c>
      <c r="BQ19" s="793"/>
      <c r="BR19" s="793"/>
      <c r="BS19" s="794"/>
      <c r="BT19" s="795"/>
    </row>
    <row r="20" spans="1:75" ht="18.75" thickBot="1" x14ac:dyDescent="0.3">
      <c r="B20" s="358"/>
      <c r="C20" s="358"/>
      <c r="D20" s="358"/>
      <c r="E20" s="168" t="s">
        <v>510</v>
      </c>
      <c r="F20" s="363"/>
      <c r="G20" s="780">
        <f>SUM(G14:K19)</f>
        <v>0</v>
      </c>
      <c r="H20" s="781"/>
      <c r="I20" s="781"/>
      <c r="J20" s="781"/>
      <c r="K20" s="782"/>
      <c r="L20" s="386"/>
      <c r="M20" s="780">
        <f>SUM(M14:Q19)</f>
        <v>0</v>
      </c>
      <c r="N20" s="781"/>
      <c r="O20" s="781"/>
      <c r="P20" s="781"/>
      <c r="Q20" s="782"/>
      <c r="R20" s="386"/>
      <c r="S20" s="780">
        <f>SUM(S14:W19)</f>
        <v>0</v>
      </c>
      <c r="T20" s="781"/>
      <c r="U20" s="781"/>
      <c r="V20" s="781"/>
      <c r="W20" s="782"/>
      <c r="X20" s="386"/>
      <c r="Y20" s="780">
        <f>SUM(Y14:AC19)</f>
        <v>0</v>
      </c>
      <c r="Z20" s="781"/>
      <c r="AA20" s="781"/>
      <c r="AB20" s="781"/>
      <c r="AC20" s="782"/>
      <c r="AD20" s="386"/>
      <c r="AE20" s="780">
        <f>SUM(AE14:AI19)</f>
        <v>0</v>
      </c>
      <c r="AF20" s="781"/>
      <c r="AG20" s="781"/>
      <c r="AH20" s="781"/>
      <c r="AI20" s="782"/>
      <c r="AJ20" s="386"/>
      <c r="AK20" s="780">
        <f>SUM(AK14:AO19)</f>
        <v>0</v>
      </c>
      <c r="AL20" s="781"/>
      <c r="AM20" s="781"/>
      <c r="AN20" s="781"/>
      <c r="AO20" s="782"/>
      <c r="AP20" s="386"/>
      <c r="AQ20" s="780">
        <f>SUM(AQ14:AU19)</f>
        <v>100</v>
      </c>
      <c r="AR20" s="781"/>
      <c r="AS20" s="781"/>
      <c r="AT20" s="781"/>
      <c r="AU20" s="782"/>
      <c r="AV20" s="780">
        <f>SUM(AV14:AZ19)</f>
        <v>86.25</v>
      </c>
      <c r="AW20" s="781"/>
      <c r="AX20" s="781"/>
      <c r="AY20" s="781"/>
      <c r="AZ20" s="782"/>
      <c r="BA20" s="780">
        <f>SUM(BA14:BE19)</f>
        <v>85</v>
      </c>
      <c r="BB20" s="781"/>
      <c r="BC20" s="781"/>
      <c r="BD20" s="781"/>
      <c r="BE20" s="782"/>
      <c r="BF20" s="780">
        <f>SUM(BF14:BJ19)</f>
        <v>85</v>
      </c>
      <c r="BG20" s="781"/>
      <c r="BH20" s="781"/>
      <c r="BI20" s="781"/>
      <c r="BJ20" s="782"/>
      <c r="BK20" s="780">
        <f>SUM(BK14:BO19)</f>
        <v>85</v>
      </c>
      <c r="BL20" s="781"/>
      <c r="BM20" s="781"/>
      <c r="BN20" s="781"/>
      <c r="BO20" s="782"/>
      <c r="BP20" s="780">
        <f>SUM(BP14:BT19)</f>
        <v>85</v>
      </c>
      <c r="BQ20" s="781"/>
      <c r="BR20" s="781"/>
      <c r="BS20" s="781"/>
      <c r="BT20" s="782"/>
    </row>
    <row r="21" spans="1:75" ht="18.75" thickBot="1" x14ac:dyDescent="0.3">
      <c r="B21" s="358"/>
      <c r="C21" s="358"/>
      <c r="D21" s="358"/>
      <c r="E21" s="168" t="s">
        <v>511</v>
      </c>
      <c r="F21" s="363"/>
      <c r="G21" s="780">
        <f>G13+G20</f>
        <v>100</v>
      </c>
      <c r="H21" s="781"/>
      <c r="I21" s="781"/>
      <c r="J21" s="781"/>
      <c r="K21" s="782"/>
      <c r="L21" s="386"/>
      <c r="M21" s="780">
        <f>M13+M20</f>
        <v>100</v>
      </c>
      <c r="N21" s="781"/>
      <c r="O21" s="781"/>
      <c r="P21" s="781"/>
      <c r="Q21" s="782"/>
      <c r="R21" s="386"/>
      <c r="S21" s="780">
        <f>S13+S20</f>
        <v>100</v>
      </c>
      <c r="T21" s="781"/>
      <c r="U21" s="781"/>
      <c r="V21" s="781"/>
      <c r="W21" s="782"/>
      <c r="X21" s="386"/>
      <c r="Y21" s="780">
        <f>Y13+Y20</f>
        <v>100</v>
      </c>
      <c r="Z21" s="781"/>
      <c r="AA21" s="781"/>
      <c r="AB21" s="781"/>
      <c r="AC21" s="782"/>
      <c r="AD21" s="386"/>
      <c r="AE21" s="780">
        <f>AE13+AE20</f>
        <v>100</v>
      </c>
      <c r="AF21" s="781"/>
      <c r="AG21" s="781"/>
      <c r="AH21" s="781"/>
      <c r="AI21" s="782"/>
      <c r="AJ21" s="386"/>
      <c r="AK21" s="780">
        <f>AK13+AK20</f>
        <v>100</v>
      </c>
      <c r="AL21" s="781"/>
      <c r="AM21" s="781"/>
      <c r="AN21" s="781"/>
      <c r="AO21" s="782"/>
      <c r="AP21" s="386"/>
      <c r="AQ21" s="780">
        <f>AQ13+AQ20</f>
        <v>100</v>
      </c>
      <c r="AR21" s="781"/>
      <c r="AS21" s="781"/>
      <c r="AT21" s="781"/>
      <c r="AU21" s="782"/>
      <c r="AV21" s="780">
        <f>AV13+AV20</f>
        <v>100</v>
      </c>
      <c r="AW21" s="781"/>
      <c r="AX21" s="781"/>
      <c r="AY21" s="781"/>
      <c r="AZ21" s="782"/>
      <c r="BA21" s="780">
        <f>BA13+BA20</f>
        <v>100</v>
      </c>
      <c r="BB21" s="781"/>
      <c r="BC21" s="781"/>
      <c r="BD21" s="781"/>
      <c r="BE21" s="782"/>
      <c r="BF21" s="780">
        <f>BF13+BF20</f>
        <v>100</v>
      </c>
      <c r="BG21" s="781"/>
      <c r="BH21" s="781"/>
      <c r="BI21" s="781"/>
      <c r="BJ21" s="782"/>
      <c r="BK21" s="780">
        <f>BK13+BK20</f>
        <v>100</v>
      </c>
      <c r="BL21" s="781"/>
      <c r="BM21" s="781"/>
      <c r="BN21" s="781"/>
      <c r="BO21" s="782"/>
      <c r="BP21" s="780">
        <f>BP13+BP20</f>
        <v>100</v>
      </c>
      <c r="BQ21" s="781"/>
      <c r="BR21" s="781"/>
      <c r="BS21" s="781"/>
      <c r="BT21" s="782"/>
    </row>
    <row r="22" spans="1:75" ht="18.75" thickBot="1" x14ac:dyDescent="0.3">
      <c r="B22" s="868" t="s">
        <v>513</v>
      </c>
      <c r="C22" s="869"/>
      <c r="D22" s="870"/>
      <c r="E22" s="689" t="s">
        <v>520</v>
      </c>
      <c r="F22" s="681"/>
      <c r="G22" s="855"/>
      <c r="H22" s="856"/>
      <c r="I22" s="856"/>
      <c r="J22" s="856"/>
      <c r="K22" s="857"/>
      <c r="L22" s="682"/>
      <c r="M22" s="855"/>
      <c r="N22" s="856"/>
      <c r="O22" s="856"/>
      <c r="P22" s="856"/>
      <c r="Q22" s="857"/>
      <c r="R22" s="682"/>
      <c r="S22" s="855"/>
      <c r="T22" s="856"/>
      <c r="U22" s="856"/>
      <c r="V22" s="856"/>
      <c r="W22" s="857"/>
      <c r="X22" s="682"/>
      <c r="Y22" s="855"/>
      <c r="Z22" s="856"/>
      <c r="AA22" s="856"/>
      <c r="AB22" s="856"/>
      <c r="AC22" s="857"/>
      <c r="AD22" s="682"/>
      <c r="AE22" s="855"/>
      <c r="AF22" s="856"/>
      <c r="AG22" s="856"/>
      <c r="AH22" s="856"/>
      <c r="AI22" s="857"/>
      <c r="AJ22" s="682"/>
      <c r="AK22" s="855"/>
      <c r="AL22" s="856"/>
      <c r="AM22" s="856"/>
      <c r="AN22" s="856"/>
      <c r="AO22" s="857"/>
      <c r="AP22" s="682"/>
      <c r="AQ22" s="855"/>
      <c r="AR22" s="856"/>
      <c r="AS22" s="856"/>
      <c r="AT22" s="856"/>
      <c r="AU22" s="857"/>
      <c r="AV22" s="707" t="str">
        <f>$E22</f>
        <v xml:space="preserve">MgO:PC   </v>
      </c>
      <c r="AW22" s="691"/>
      <c r="AX22" s="690" t="str">
        <f>AV$8+AV$9&amp;" : "&amp;AV$7</f>
        <v>0.75 : 7</v>
      </c>
      <c r="AY22" s="711">
        <f>IF((AV$7+AV$8+AV$9)=0,"-",(AV$8+AV$9)/(AV$7+AV$8+AV$9))</f>
        <v>9.6774193548387094E-2</v>
      </c>
      <c r="AZ22" s="712"/>
      <c r="BA22" s="707" t="str">
        <f>$E22</f>
        <v xml:space="preserve">MgO:PC   </v>
      </c>
      <c r="BB22" s="699"/>
      <c r="BC22" s="697" t="str">
        <f>BA$8+BA$9&amp;" : "&amp;BA$7</f>
        <v>11 : 4</v>
      </c>
      <c r="BD22" s="711">
        <f>IF((BA$7+BA$8+BA$9)=0,"-",(BA$8+BA$9)/(BA$7+BA$8+BA$9))</f>
        <v>0.73333333333333328</v>
      </c>
      <c r="BE22" s="888"/>
      <c r="BF22" s="707" t="str">
        <f>$E22</f>
        <v xml:space="preserve">MgO:PC   </v>
      </c>
      <c r="BG22" s="691"/>
      <c r="BH22" s="690" t="str">
        <f>BF$8+BF$9&amp;" : "&amp;BF$7</f>
        <v>0 : 0</v>
      </c>
      <c r="BI22" s="711" t="str">
        <f>IF((BF$7+BF$8+BF$9)=0,"-",(BF$8+BF$9)/(BF$7+BF$8+BF$9))</f>
        <v>-</v>
      </c>
      <c r="BJ22" s="712"/>
      <c r="BK22" s="707" t="str">
        <f>$E22</f>
        <v xml:space="preserve">MgO:PC   </v>
      </c>
      <c r="BL22" s="699"/>
      <c r="BM22" s="697" t="str">
        <f>BK$8+BK$9&amp;" : "&amp;BK$7</f>
        <v>11 : 4</v>
      </c>
      <c r="BN22" s="711">
        <f>IF((BK$7+BK$8+BK$9)=0,"-",(BK$8+BK$9)/(BK$7+BK$8+BK$9))</f>
        <v>0.73333333333333328</v>
      </c>
      <c r="BO22" s="712"/>
      <c r="BP22" s="707" t="str">
        <f>$E22</f>
        <v xml:space="preserve">MgO:PC   </v>
      </c>
      <c r="BQ22" s="699"/>
      <c r="BR22" s="697" t="str">
        <f>BP$8+BP$9&amp;" : "&amp;BP$7</f>
        <v>11 : 4</v>
      </c>
      <c r="BS22" s="711">
        <f>IF((BP$7+BP$8+BP$9)=0,"-",(BP$8+BP$9)/(BP$7+BP$8+BP$9))</f>
        <v>0.73333333333333328</v>
      </c>
      <c r="BT22" s="712"/>
    </row>
    <row r="23" spans="1:75" ht="18.75" thickBot="1" x14ac:dyDescent="0.3">
      <c r="B23" s="871"/>
      <c r="C23" s="872"/>
      <c r="D23" s="873"/>
      <c r="E23" s="689" t="s">
        <v>522</v>
      </c>
      <c r="F23" s="700"/>
      <c r="G23" s="701"/>
      <c r="H23" s="702"/>
      <c r="I23" s="702"/>
      <c r="J23" s="702"/>
      <c r="K23" s="703"/>
      <c r="L23" s="704"/>
      <c r="M23" s="701"/>
      <c r="N23" s="702"/>
      <c r="O23" s="702"/>
      <c r="P23" s="702"/>
      <c r="Q23" s="703"/>
      <c r="R23" s="704"/>
      <c r="S23" s="701"/>
      <c r="T23" s="702"/>
      <c r="U23" s="702"/>
      <c r="V23" s="702"/>
      <c r="W23" s="703"/>
      <c r="X23" s="704"/>
      <c r="Y23" s="701"/>
      <c r="Z23" s="702"/>
      <c r="AA23" s="702"/>
      <c r="AB23" s="702"/>
      <c r="AC23" s="703"/>
      <c r="AD23" s="704"/>
      <c r="AE23" s="701"/>
      <c r="AF23" s="702"/>
      <c r="AG23" s="702"/>
      <c r="AH23" s="702"/>
      <c r="AI23" s="703"/>
      <c r="AJ23" s="704"/>
      <c r="AK23" s="701"/>
      <c r="AL23" s="702"/>
      <c r="AM23" s="702"/>
      <c r="AN23" s="702"/>
      <c r="AO23" s="703"/>
      <c r="AP23" s="704"/>
      <c r="AQ23" s="701"/>
      <c r="AR23" s="702"/>
      <c r="AS23" s="702"/>
      <c r="AT23" s="702"/>
      <c r="AU23" s="703"/>
      <c r="AV23" s="706" t="str">
        <f t="shared" ref="AV23:AV30" si="0">$E23</f>
        <v>MgO:Total Cementitious</v>
      </c>
      <c r="AW23" s="702"/>
      <c r="AX23" s="690" t="str">
        <f>AV$8+AV$9&amp;" : "&amp;AV$13</f>
        <v>0.75 : 13.75</v>
      </c>
      <c r="AY23" s="713">
        <f>(AV$8+AV$9)/AV$13</f>
        <v>5.4545454545454543E-2</v>
      </c>
      <c r="AZ23" s="714"/>
      <c r="BA23" s="706" t="str">
        <f t="shared" ref="BA23:BA30" si="1">$E23</f>
        <v>MgO:Total Cementitious</v>
      </c>
      <c r="BB23" s="702"/>
      <c r="BC23" s="697" t="str">
        <f>BA$8+BA$9&amp;" : "&amp;BA$13</f>
        <v>11 : 15</v>
      </c>
      <c r="BD23" s="713">
        <f>(BA$8+BA$9)/BA$13</f>
        <v>0.73333333333333328</v>
      </c>
      <c r="BE23" s="887"/>
      <c r="BF23" s="706" t="str">
        <f t="shared" ref="BF23:BF30" si="2">$E23</f>
        <v>MgO:Total Cementitious</v>
      </c>
      <c r="BG23" s="702"/>
      <c r="BH23" s="690" t="str">
        <f>BF$8+BF$9&amp;" : "&amp;BF$13</f>
        <v>0 : 15</v>
      </c>
      <c r="BI23" s="713">
        <f>(BF$8+BF$9)/BF$13</f>
        <v>0</v>
      </c>
      <c r="BJ23" s="714"/>
      <c r="BK23" s="706" t="str">
        <f t="shared" ref="BK23:BK30" si="3">$E23</f>
        <v>MgO:Total Cementitious</v>
      </c>
      <c r="BL23" s="702"/>
      <c r="BM23" s="697" t="str">
        <f>BK$8+BK$9&amp;" : "&amp;BK$13</f>
        <v>11 : 15</v>
      </c>
      <c r="BN23" s="713">
        <f>(BK$8+BK$9)/BK$13</f>
        <v>0.73333333333333328</v>
      </c>
      <c r="BO23" s="714"/>
      <c r="BP23" s="706" t="str">
        <f t="shared" ref="BP23:BP30" si="4">$E23</f>
        <v>MgO:Total Cementitious</v>
      </c>
      <c r="BQ23" s="702"/>
      <c r="BR23" s="697" t="str">
        <f>BP$8+BP$9&amp;" : "&amp;BP$13</f>
        <v>11 : 15</v>
      </c>
      <c r="BS23" s="713">
        <f>(BP$8+BP$9)/BP$13</f>
        <v>0.73333333333333328</v>
      </c>
      <c r="BT23" s="714"/>
    </row>
    <row r="24" spans="1:75" ht="18.75" thickBot="1" x14ac:dyDescent="0.3">
      <c r="B24" s="871"/>
      <c r="C24" s="872"/>
      <c r="D24" s="873"/>
      <c r="E24" s="689" t="s">
        <v>514</v>
      </c>
      <c r="F24" s="683"/>
      <c r="G24" s="858"/>
      <c r="H24" s="859"/>
      <c r="I24" s="859"/>
      <c r="J24" s="859"/>
      <c r="K24" s="860"/>
      <c r="L24" s="684"/>
      <c r="M24" s="858"/>
      <c r="N24" s="859"/>
      <c r="O24" s="859"/>
      <c r="P24" s="859"/>
      <c r="Q24" s="860"/>
      <c r="R24" s="684"/>
      <c r="S24" s="858"/>
      <c r="T24" s="859"/>
      <c r="U24" s="859"/>
      <c r="V24" s="859"/>
      <c r="W24" s="860"/>
      <c r="X24" s="684"/>
      <c r="Y24" s="858"/>
      <c r="Z24" s="859"/>
      <c r="AA24" s="859"/>
      <c r="AB24" s="859"/>
      <c r="AC24" s="860"/>
      <c r="AD24" s="684"/>
      <c r="AE24" s="858"/>
      <c r="AF24" s="859"/>
      <c r="AG24" s="859"/>
      <c r="AH24" s="859"/>
      <c r="AI24" s="860"/>
      <c r="AJ24" s="684"/>
      <c r="AK24" s="858"/>
      <c r="AL24" s="859"/>
      <c r="AM24" s="859"/>
      <c r="AN24" s="859"/>
      <c r="AO24" s="860"/>
      <c r="AP24" s="684"/>
      <c r="AQ24" s="858"/>
      <c r="AR24" s="859"/>
      <c r="AS24" s="859"/>
      <c r="AT24" s="859"/>
      <c r="AU24" s="860"/>
      <c r="AV24" s="706" t="str">
        <f t="shared" si="0"/>
        <v>MgO+PC:Total Cementitious</v>
      </c>
      <c r="AW24" s="690"/>
      <c r="AX24" s="690" t="str">
        <f>AV$8+AV$9+AV$7&amp;" : "&amp;AV$13</f>
        <v>7.75 : 13.75</v>
      </c>
      <c r="AY24" s="713">
        <f>(AV$7+AV$8+AV$9)/AV$13</f>
        <v>0.5636363636363636</v>
      </c>
      <c r="AZ24" s="714"/>
      <c r="BA24" s="706" t="str">
        <f t="shared" si="1"/>
        <v>MgO+PC:Total Cementitious</v>
      </c>
      <c r="BB24" s="697"/>
      <c r="BC24" s="697" t="str">
        <f>BA$8+BA$9+BA$7&amp;" : "&amp;BA$13</f>
        <v>15 : 15</v>
      </c>
      <c r="BD24" s="713">
        <f>(BA$7+BA$8+BA$9)/BA$13</f>
        <v>1</v>
      </c>
      <c r="BE24" s="887"/>
      <c r="BF24" s="706" t="str">
        <f t="shared" si="2"/>
        <v>MgO+PC:Total Cementitious</v>
      </c>
      <c r="BG24" s="690"/>
      <c r="BH24" s="690" t="str">
        <f>BF$8+BF$9+BF$7&amp;" : "&amp;BF$13</f>
        <v>0 : 15</v>
      </c>
      <c r="BI24" s="713">
        <f>(BF$7+BF$8+BF$9)/BF$13</f>
        <v>0</v>
      </c>
      <c r="BJ24" s="714"/>
      <c r="BK24" s="706" t="str">
        <f t="shared" si="3"/>
        <v>MgO+PC:Total Cementitious</v>
      </c>
      <c r="BL24" s="697"/>
      <c r="BM24" s="697" t="str">
        <f>BK$8+BK$9+BK$7&amp;" : "&amp;BK$13</f>
        <v>15 : 15</v>
      </c>
      <c r="BN24" s="713">
        <f>(BK$7+BK$8+BK$9)/BK$13</f>
        <v>1</v>
      </c>
      <c r="BO24" s="714"/>
      <c r="BP24" s="706" t="str">
        <f t="shared" si="4"/>
        <v>MgO+PC:Total Cementitious</v>
      </c>
      <c r="BQ24" s="697"/>
      <c r="BR24" s="697" t="str">
        <f>BP$8+BP$9+BP$7&amp;" : "&amp;BP$13</f>
        <v>15 : 15</v>
      </c>
      <c r="BS24" s="713">
        <f>(BP$7+BP$8+BP$9)/BP$13</f>
        <v>1</v>
      </c>
      <c r="BT24" s="714"/>
    </row>
    <row r="25" spans="1:75" ht="18.75" thickBot="1" x14ac:dyDescent="0.3">
      <c r="B25" s="871"/>
      <c r="C25" s="872"/>
      <c r="D25" s="873"/>
      <c r="E25" s="689" t="s">
        <v>515</v>
      </c>
      <c r="F25" s="683"/>
      <c r="G25" s="858"/>
      <c r="H25" s="859"/>
      <c r="I25" s="859"/>
      <c r="J25" s="859"/>
      <c r="K25" s="860"/>
      <c r="L25" s="684"/>
      <c r="M25" s="858"/>
      <c r="N25" s="859"/>
      <c r="O25" s="859"/>
      <c r="P25" s="859"/>
      <c r="Q25" s="860"/>
      <c r="R25" s="684"/>
      <c r="S25" s="858"/>
      <c r="T25" s="859"/>
      <c r="U25" s="859"/>
      <c r="V25" s="859"/>
      <c r="W25" s="860"/>
      <c r="X25" s="684"/>
      <c r="Y25" s="858"/>
      <c r="Z25" s="859"/>
      <c r="AA25" s="859"/>
      <c r="AB25" s="859"/>
      <c r="AC25" s="860"/>
      <c r="AD25" s="684"/>
      <c r="AE25" s="858"/>
      <c r="AF25" s="859"/>
      <c r="AG25" s="859"/>
      <c r="AH25" s="859"/>
      <c r="AI25" s="860"/>
      <c r="AJ25" s="684"/>
      <c r="AK25" s="858"/>
      <c r="AL25" s="859"/>
      <c r="AM25" s="859"/>
      <c r="AN25" s="859"/>
      <c r="AO25" s="860"/>
      <c r="AP25" s="684"/>
      <c r="AQ25" s="858"/>
      <c r="AR25" s="859"/>
      <c r="AS25" s="859"/>
      <c r="AT25" s="859"/>
      <c r="AU25" s="860"/>
      <c r="AV25" s="706" t="str">
        <f t="shared" si="0"/>
        <v>GBFS:Total Cementitious</v>
      </c>
      <c r="AW25" s="690"/>
      <c r="AX25" s="690" t="str">
        <f>AV$11&amp;" : "&amp;AV$13</f>
        <v>3 : 13.75</v>
      </c>
      <c r="AY25" s="713">
        <f>AV$11/AV$13</f>
        <v>0.21818181818181817</v>
      </c>
      <c r="AZ25" s="714"/>
      <c r="BA25" s="706" t="str">
        <f t="shared" si="1"/>
        <v>GBFS:Total Cementitious</v>
      </c>
      <c r="BB25" s="697"/>
      <c r="BC25" s="697" t="str">
        <f>BA$11&amp;" : "&amp;BA$13</f>
        <v>0 : 15</v>
      </c>
      <c r="BD25" s="713">
        <f>BA$11/BA$13</f>
        <v>0</v>
      </c>
      <c r="BE25" s="887"/>
      <c r="BF25" s="706" t="str">
        <f t="shared" si="2"/>
        <v>GBFS:Total Cementitious</v>
      </c>
      <c r="BG25" s="690"/>
      <c r="BH25" s="690" t="str">
        <f>BF$11&amp;" : "&amp;BF$13</f>
        <v>0 : 15</v>
      </c>
      <c r="BI25" s="713">
        <f>BF$11/BF$13</f>
        <v>0</v>
      </c>
      <c r="BJ25" s="714"/>
      <c r="BK25" s="706" t="str">
        <f t="shared" si="3"/>
        <v>GBFS:Total Cementitious</v>
      </c>
      <c r="BL25" s="697"/>
      <c r="BM25" s="697" t="str">
        <f>BK$11&amp;" : "&amp;BK$13</f>
        <v>0 : 15</v>
      </c>
      <c r="BN25" s="713">
        <f>BK$11/BK$13</f>
        <v>0</v>
      </c>
      <c r="BO25" s="714"/>
      <c r="BP25" s="706" t="str">
        <f t="shared" si="4"/>
        <v>GBFS:Total Cementitious</v>
      </c>
      <c r="BQ25" s="697"/>
      <c r="BR25" s="697" t="str">
        <f>BP$11&amp;" : "&amp;BP$13</f>
        <v>0 : 15</v>
      </c>
      <c r="BS25" s="713">
        <f>BP$11/BP$13</f>
        <v>0</v>
      </c>
      <c r="BT25" s="714"/>
    </row>
    <row r="26" spans="1:75" ht="18.75" thickBot="1" x14ac:dyDescent="0.3">
      <c r="B26" s="871"/>
      <c r="C26" s="872"/>
      <c r="D26" s="873"/>
      <c r="E26" s="689" t="s">
        <v>516</v>
      </c>
      <c r="F26" s="683"/>
      <c r="G26" s="858"/>
      <c r="H26" s="859"/>
      <c r="I26" s="859"/>
      <c r="J26" s="859"/>
      <c r="K26" s="860"/>
      <c r="L26" s="684"/>
      <c r="M26" s="858"/>
      <c r="N26" s="859"/>
      <c r="O26" s="859"/>
      <c r="P26" s="859"/>
      <c r="Q26" s="860"/>
      <c r="R26" s="684"/>
      <c r="S26" s="858"/>
      <c r="T26" s="859"/>
      <c r="U26" s="859"/>
      <c r="V26" s="859"/>
      <c r="W26" s="860"/>
      <c r="X26" s="684"/>
      <c r="Y26" s="858"/>
      <c r="Z26" s="859"/>
      <c r="AA26" s="859"/>
      <c r="AB26" s="859"/>
      <c r="AC26" s="860"/>
      <c r="AD26" s="684"/>
      <c r="AE26" s="858"/>
      <c r="AF26" s="859"/>
      <c r="AG26" s="859"/>
      <c r="AH26" s="859"/>
      <c r="AI26" s="860"/>
      <c r="AJ26" s="684"/>
      <c r="AK26" s="858"/>
      <c r="AL26" s="859"/>
      <c r="AM26" s="859"/>
      <c r="AN26" s="859"/>
      <c r="AO26" s="860"/>
      <c r="AP26" s="684"/>
      <c r="AQ26" s="858"/>
      <c r="AR26" s="859"/>
      <c r="AS26" s="859"/>
      <c r="AT26" s="859"/>
      <c r="AU26" s="860"/>
      <c r="AV26" s="706" t="str">
        <f t="shared" si="0"/>
        <v>Fly Ash: Total Cementitious</v>
      </c>
      <c r="AW26" s="690"/>
      <c r="AX26" s="690" t="str">
        <f>AV$12&amp;" : "&amp;AV$13</f>
        <v>3 : 13.75</v>
      </c>
      <c r="AY26" s="713">
        <f>AV$12/AV$13</f>
        <v>0.21818181818181817</v>
      </c>
      <c r="AZ26" s="714"/>
      <c r="BA26" s="706" t="str">
        <f t="shared" si="1"/>
        <v>Fly Ash: Total Cementitious</v>
      </c>
      <c r="BB26" s="697"/>
      <c r="BC26" s="697" t="str">
        <f>BA$12&amp;" : "&amp;BA$13</f>
        <v>0 : 15</v>
      </c>
      <c r="BD26" s="713">
        <f>BA$12/BA$13</f>
        <v>0</v>
      </c>
      <c r="BE26" s="887"/>
      <c r="BF26" s="706" t="str">
        <f t="shared" si="2"/>
        <v>Fly Ash: Total Cementitious</v>
      </c>
      <c r="BG26" s="690"/>
      <c r="BH26" s="690" t="str">
        <f>BF$12&amp;" : "&amp;BF$13</f>
        <v>0 : 15</v>
      </c>
      <c r="BI26" s="713">
        <f>BF$12/BF$13</f>
        <v>0</v>
      </c>
      <c r="BJ26" s="714"/>
      <c r="BK26" s="706" t="str">
        <f t="shared" si="3"/>
        <v>Fly Ash: Total Cementitious</v>
      </c>
      <c r="BL26" s="697"/>
      <c r="BM26" s="697" t="str">
        <f>BK$12&amp;" : "&amp;BK$13</f>
        <v>0 : 15</v>
      </c>
      <c r="BN26" s="713">
        <f>BK$12/BK$13</f>
        <v>0</v>
      </c>
      <c r="BO26" s="714"/>
      <c r="BP26" s="706" t="str">
        <f t="shared" si="4"/>
        <v>Fly Ash: Total Cementitious</v>
      </c>
      <c r="BQ26" s="697"/>
      <c r="BR26" s="697" t="str">
        <f>BP$12&amp;" : "&amp;BP$13</f>
        <v>0 : 15</v>
      </c>
      <c r="BS26" s="713">
        <f>BP$12/BP$13</f>
        <v>0</v>
      </c>
      <c r="BT26" s="714"/>
    </row>
    <row r="27" spans="1:75" ht="18.75" thickBot="1" x14ac:dyDescent="0.3">
      <c r="B27" s="871"/>
      <c r="C27" s="872"/>
      <c r="D27" s="873"/>
      <c r="E27" s="689" t="s">
        <v>517</v>
      </c>
      <c r="F27" s="683"/>
      <c r="G27" s="858"/>
      <c r="H27" s="859"/>
      <c r="I27" s="859"/>
      <c r="J27" s="859"/>
      <c r="K27" s="860"/>
      <c r="L27" s="684"/>
      <c r="M27" s="858"/>
      <c r="N27" s="859"/>
      <c r="O27" s="859"/>
      <c r="P27" s="859"/>
      <c r="Q27" s="860"/>
      <c r="R27" s="684"/>
      <c r="S27" s="858"/>
      <c r="T27" s="859"/>
      <c r="U27" s="859"/>
      <c r="V27" s="859"/>
      <c r="W27" s="860"/>
      <c r="X27" s="684"/>
      <c r="Y27" s="858"/>
      <c r="Z27" s="859"/>
      <c r="AA27" s="859"/>
      <c r="AB27" s="859"/>
      <c r="AC27" s="860"/>
      <c r="AD27" s="684"/>
      <c r="AE27" s="858"/>
      <c r="AF27" s="859"/>
      <c r="AG27" s="859"/>
      <c r="AH27" s="859"/>
      <c r="AI27" s="860"/>
      <c r="AJ27" s="684"/>
      <c r="AK27" s="858"/>
      <c r="AL27" s="859"/>
      <c r="AM27" s="859"/>
      <c r="AN27" s="859"/>
      <c r="AO27" s="860"/>
      <c r="AP27" s="684"/>
      <c r="AQ27" s="858"/>
      <c r="AR27" s="859"/>
      <c r="AS27" s="859"/>
      <c r="AT27" s="859"/>
      <c r="AU27" s="860"/>
      <c r="AV27" s="706" t="str">
        <f t="shared" si="0"/>
        <v>Total Cementitious:Sands</v>
      </c>
      <c r="AW27" s="690"/>
      <c r="AX27" s="690" t="str">
        <f>AV$13&amp;" : "&amp;AV$14+AV$15+AV$16</f>
        <v>13.75 : 26.25</v>
      </c>
      <c r="AY27" s="713">
        <f>IF((AV$14+AV$15+AV$16)=0,"-",AV$13/(AV$14+AV$15+AV$16))</f>
        <v>0.52380952380952384</v>
      </c>
      <c r="AZ27" s="714"/>
      <c r="BA27" s="706" t="str">
        <f t="shared" si="1"/>
        <v>Total Cementitious:Sands</v>
      </c>
      <c r="BB27" s="697"/>
      <c r="BC27" s="697" t="str">
        <f>BA$13&amp;" : "&amp;BA$14+BA$15+BA$16</f>
        <v>15 : 30</v>
      </c>
      <c r="BD27" s="713">
        <f>IF((BA$14+BA$15+BA$16)=0,"-",BA$13/(BA$14+BA$15+BA$16))</f>
        <v>0.5</v>
      </c>
      <c r="BE27" s="887"/>
      <c r="BF27" s="706" t="str">
        <f t="shared" si="2"/>
        <v>Total Cementitious:Sands</v>
      </c>
      <c r="BG27" s="690"/>
      <c r="BH27" s="690" t="str">
        <f>BF$13&amp;" : "&amp;BF$14+BF$15+BF$16</f>
        <v>15 : 30</v>
      </c>
      <c r="BI27" s="713">
        <f>IF((BF$14+BF$15+BF$16)=0,"-",BF$13/(BF$14+BF$15+BF$16))</f>
        <v>0.5</v>
      </c>
      <c r="BJ27" s="714"/>
      <c r="BK27" s="706" t="str">
        <f t="shared" si="3"/>
        <v>Total Cementitious:Sands</v>
      </c>
      <c r="BL27" s="697"/>
      <c r="BM27" s="697" t="str">
        <f>BK$13&amp;" : "&amp;BK$14+BK$15+BK$16</f>
        <v>15 : 30</v>
      </c>
      <c r="BN27" s="713">
        <f>IF((BK$14+BK$15+BK$16)=0,"-",BK$13/(BK$14+BK$15+BK$16))</f>
        <v>0.5</v>
      </c>
      <c r="BO27" s="714"/>
      <c r="BP27" s="706" t="str">
        <f t="shared" si="4"/>
        <v>Total Cementitious:Sands</v>
      </c>
      <c r="BQ27" s="697"/>
      <c r="BR27" s="697" t="str">
        <f>BP$13&amp;" : "&amp;BP$14+BP$15+BP$16</f>
        <v>15 : 5</v>
      </c>
      <c r="BS27" s="713">
        <f>IF((BP$14+BP$15+BP$16)=0,"-",BP$13/(BP$14+BP$15+BP$16))</f>
        <v>3</v>
      </c>
      <c r="BT27" s="714"/>
    </row>
    <row r="28" spans="1:75" ht="18.75" thickBot="1" x14ac:dyDescent="0.3">
      <c r="B28" s="871"/>
      <c r="C28" s="872"/>
      <c r="D28" s="873"/>
      <c r="E28" s="689" t="s">
        <v>518</v>
      </c>
      <c r="F28" s="683"/>
      <c r="G28" s="858"/>
      <c r="H28" s="859"/>
      <c r="I28" s="859"/>
      <c r="J28" s="859"/>
      <c r="K28" s="860"/>
      <c r="L28" s="684"/>
      <c r="M28" s="858"/>
      <c r="N28" s="859"/>
      <c r="O28" s="859"/>
      <c r="P28" s="859"/>
      <c r="Q28" s="860"/>
      <c r="R28" s="684"/>
      <c r="S28" s="858"/>
      <c r="T28" s="859"/>
      <c r="U28" s="859"/>
      <c r="V28" s="859"/>
      <c r="W28" s="860"/>
      <c r="X28" s="684"/>
      <c r="Y28" s="858"/>
      <c r="Z28" s="859"/>
      <c r="AA28" s="859"/>
      <c r="AB28" s="859"/>
      <c r="AC28" s="860"/>
      <c r="AD28" s="684"/>
      <c r="AE28" s="858"/>
      <c r="AF28" s="859"/>
      <c r="AG28" s="859"/>
      <c r="AH28" s="859"/>
      <c r="AI28" s="860"/>
      <c r="AJ28" s="684"/>
      <c r="AK28" s="858"/>
      <c r="AL28" s="859"/>
      <c r="AM28" s="859"/>
      <c r="AN28" s="859"/>
      <c r="AO28" s="860"/>
      <c r="AP28" s="684"/>
      <c r="AQ28" s="858"/>
      <c r="AR28" s="859"/>
      <c r="AS28" s="859"/>
      <c r="AT28" s="859"/>
      <c r="AU28" s="860"/>
      <c r="AV28" s="706" t="str">
        <f t="shared" si="0"/>
        <v>Sands:Coarse Agreggates</v>
      </c>
      <c r="AW28" s="690"/>
      <c r="AX28" s="690" t="str">
        <f>AV$14+AV$15+AV$16 &amp;" : "&amp; AV$17+AV$18+AV$19</f>
        <v>26.25 : 60</v>
      </c>
      <c r="AY28" s="713">
        <f>IF((AV$17+AV$18+AV$19)=0,"-",(AV$14+AV$15+AV$16)/(AV$17+AV$18+AV$19))</f>
        <v>0.4375</v>
      </c>
      <c r="AZ28" s="714"/>
      <c r="BA28" s="706" t="str">
        <f t="shared" si="1"/>
        <v>Sands:Coarse Agreggates</v>
      </c>
      <c r="BB28" s="697"/>
      <c r="BC28" s="697" t="str">
        <f>BA$14+BA$15+BA$16 &amp;" : "&amp; BA$17+BA$18+BA$19</f>
        <v>30 : 55</v>
      </c>
      <c r="BD28" s="713">
        <f>IF((BA$17+BA$18+BA$19)=0,"-",(BA$14+BA$15+BA$16)/(BA$17+BA$18+BA$19))</f>
        <v>0.54545454545454541</v>
      </c>
      <c r="BE28" s="887"/>
      <c r="BF28" s="706" t="str">
        <f t="shared" si="2"/>
        <v>Sands:Coarse Agreggates</v>
      </c>
      <c r="BG28" s="690"/>
      <c r="BH28" s="690" t="str">
        <f>BF$14+BF$15+BF$16 &amp;" : "&amp; BF$17+BF$18+BF$19</f>
        <v>30 : 55</v>
      </c>
      <c r="BI28" s="713">
        <f>IF((BF$17+BF$18+BF$19)=0,"-",(BF$14+BF$15+BF$16)/(BF$17+BF$18+BF$19))</f>
        <v>0.54545454545454541</v>
      </c>
      <c r="BJ28" s="714"/>
      <c r="BK28" s="706" t="str">
        <f t="shared" si="3"/>
        <v>Sands:Coarse Agreggates</v>
      </c>
      <c r="BL28" s="697"/>
      <c r="BM28" s="697" t="str">
        <f>BK$14+BK$15+BK$16 &amp;" : "&amp; BK$17+BK$18+BK$19</f>
        <v>30 : 55</v>
      </c>
      <c r="BN28" s="713">
        <f>IF((BK$17+BK$18+BK$19)=0,"-",(BK$14+BK$15+BK$16)/(BK$17+BK$18+BK$19))</f>
        <v>0.54545454545454541</v>
      </c>
      <c r="BO28" s="714"/>
      <c r="BP28" s="706" t="str">
        <f t="shared" si="4"/>
        <v>Sands:Coarse Agreggates</v>
      </c>
      <c r="BQ28" s="697"/>
      <c r="BR28" s="697" t="str">
        <f>BP$14+BP$15+BP$16 &amp;" : "&amp; BP$17+BP$18+BP$19</f>
        <v>5 : 80</v>
      </c>
      <c r="BS28" s="713">
        <f>IF((BP$17+BP$18+BP$19)=0,"-",(BP$14+BP$15+BP$16)/(BP$17+BP$18+BP$19))</f>
        <v>6.25E-2</v>
      </c>
      <c r="BT28" s="714"/>
    </row>
    <row r="29" spans="1:75" ht="18.75" thickBot="1" x14ac:dyDescent="0.3">
      <c r="B29" s="871"/>
      <c r="C29" s="872"/>
      <c r="D29" s="873"/>
      <c r="E29" s="689" t="s">
        <v>521</v>
      </c>
      <c r="F29" s="687"/>
      <c r="G29" s="694"/>
      <c r="H29" s="695"/>
      <c r="I29" s="695"/>
      <c r="J29" s="695"/>
      <c r="K29" s="696"/>
      <c r="L29" s="688"/>
      <c r="M29" s="694"/>
      <c r="N29" s="695"/>
      <c r="O29" s="695"/>
      <c r="P29" s="695"/>
      <c r="Q29" s="696"/>
      <c r="R29" s="688"/>
      <c r="S29" s="694"/>
      <c r="T29" s="695"/>
      <c r="U29" s="695"/>
      <c r="V29" s="695"/>
      <c r="W29" s="696"/>
      <c r="X29" s="688"/>
      <c r="Y29" s="694"/>
      <c r="Z29" s="695"/>
      <c r="AA29" s="695"/>
      <c r="AB29" s="695"/>
      <c r="AC29" s="696"/>
      <c r="AD29" s="688"/>
      <c r="AE29" s="694"/>
      <c r="AF29" s="695"/>
      <c r="AG29" s="695"/>
      <c r="AH29" s="695"/>
      <c r="AI29" s="696"/>
      <c r="AJ29" s="688"/>
      <c r="AK29" s="694"/>
      <c r="AL29" s="695"/>
      <c r="AM29" s="695"/>
      <c r="AN29" s="695"/>
      <c r="AO29" s="696"/>
      <c r="AP29" s="688"/>
      <c r="AQ29" s="694"/>
      <c r="AR29" s="695"/>
      <c r="AS29" s="695"/>
      <c r="AT29" s="695"/>
      <c r="AU29" s="696"/>
      <c r="AV29" s="706" t="str">
        <f t="shared" si="0"/>
        <v>Cementitious: Sand and Aggregates</v>
      </c>
      <c r="AW29" s="695"/>
      <c r="AX29" s="705" t="str">
        <f>AV13&amp;" : "&amp;AV20</f>
        <v>13.75 : 86.25</v>
      </c>
      <c r="AY29" s="713">
        <f>IF(AV20=0,"",AV13/AV20)</f>
        <v>0.15942028985507245</v>
      </c>
      <c r="AZ29" s="714"/>
      <c r="BA29" s="706" t="str">
        <f t="shared" si="1"/>
        <v>Cementitious: Sand and Aggregates</v>
      </c>
      <c r="BB29" s="695"/>
      <c r="BC29" s="705" t="str">
        <f>BA13&amp;" : "&amp;BA20</f>
        <v>15 : 85</v>
      </c>
      <c r="BD29" s="713">
        <f>IF(BA20=0,"",BA13/BA20)</f>
        <v>0.17647058823529413</v>
      </c>
      <c r="BE29" s="887"/>
      <c r="BF29" s="706" t="str">
        <f t="shared" si="2"/>
        <v>Cementitious: Sand and Aggregates</v>
      </c>
      <c r="BG29" s="695"/>
      <c r="BH29" s="705" t="str">
        <f>BF13&amp;" : "&amp;BF20</f>
        <v>15 : 85</v>
      </c>
      <c r="BI29" s="713">
        <f>IF(BF20=0,"",BF13/BF20)</f>
        <v>0.17647058823529413</v>
      </c>
      <c r="BJ29" s="714"/>
      <c r="BK29" s="706" t="str">
        <f t="shared" si="3"/>
        <v>Cementitious: Sand and Aggregates</v>
      </c>
      <c r="BL29" s="695"/>
      <c r="BM29" s="705" t="str">
        <f>BK13&amp;" : "&amp;BK20</f>
        <v>15 : 85</v>
      </c>
      <c r="BN29" s="713">
        <f>IF(BK20=0,"",BK13/BK20)</f>
        <v>0.17647058823529413</v>
      </c>
      <c r="BO29" s="714"/>
      <c r="BP29" s="706" t="str">
        <f t="shared" si="4"/>
        <v>Cementitious: Sand and Aggregates</v>
      </c>
      <c r="BQ29" s="695"/>
      <c r="BR29" s="705" t="str">
        <f>BP13&amp;" : "&amp;BP20</f>
        <v>15 : 85</v>
      </c>
      <c r="BS29" s="713">
        <f>IF(BP20=0,"",BP13/BP20)</f>
        <v>0.17647058823529413</v>
      </c>
      <c r="BT29" s="714"/>
    </row>
    <row r="30" spans="1:75" ht="18.75" thickBot="1" x14ac:dyDescent="0.3">
      <c r="B30" s="874"/>
      <c r="C30" s="875"/>
      <c r="D30" s="876"/>
      <c r="E30" s="689" t="s">
        <v>519</v>
      </c>
      <c r="F30" s="685"/>
      <c r="G30" s="861"/>
      <c r="H30" s="862"/>
      <c r="I30" s="862"/>
      <c r="J30" s="862"/>
      <c r="K30" s="863"/>
      <c r="L30" s="686"/>
      <c r="M30" s="861"/>
      <c r="N30" s="862"/>
      <c r="O30" s="862"/>
      <c r="P30" s="862"/>
      <c r="Q30" s="863"/>
      <c r="R30" s="686"/>
      <c r="S30" s="861"/>
      <c r="T30" s="862"/>
      <c r="U30" s="862"/>
      <c r="V30" s="862"/>
      <c r="W30" s="863"/>
      <c r="X30" s="686"/>
      <c r="Y30" s="861"/>
      <c r="Z30" s="862"/>
      <c r="AA30" s="862"/>
      <c r="AB30" s="862"/>
      <c r="AC30" s="863"/>
      <c r="AD30" s="686"/>
      <c r="AE30" s="861"/>
      <c r="AF30" s="862"/>
      <c r="AG30" s="862"/>
      <c r="AH30" s="862"/>
      <c r="AI30" s="863"/>
      <c r="AJ30" s="686"/>
      <c r="AK30" s="861"/>
      <c r="AL30" s="862"/>
      <c r="AM30" s="862"/>
      <c r="AN30" s="862"/>
      <c r="AO30" s="863"/>
      <c r="AP30" s="686"/>
      <c r="AQ30" s="861"/>
      <c r="AR30" s="862"/>
      <c r="AS30" s="862"/>
      <c r="AT30" s="862"/>
      <c r="AU30" s="863"/>
      <c r="AV30" s="708" t="str">
        <f t="shared" si="0"/>
        <v>Cement:Sands:Aggregates (As Propertion Mix)</v>
      </c>
      <c r="AW30" s="692"/>
      <c r="AX30" s="693" t="str">
        <f>AV$13 &amp;" : "&amp;AV$14+AV$15+AV$16 &amp;" : "&amp; AV$17+AV$18+AV$19</f>
        <v>13.75 : 26.25 : 60</v>
      </c>
      <c r="AY30" s="709"/>
      <c r="AZ30" s="710"/>
      <c r="BA30" s="708" t="str">
        <f t="shared" si="1"/>
        <v>Cement:Sands:Aggregates (As Propertion Mix)</v>
      </c>
      <c r="BB30" s="698"/>
      <c r="BC30" s="693" t="str">
        <f>BA$13 &amp;" : "&amp;BA$14+BA$15+BA$16 &amp;" : "&amp; BA$17+BA$18+BA$19</f>
        <v>15 : 30 : 55</v>
      </c>
      <c r="BD30" s="709"/>
      <c r="BE30" s="886"/>
      <c r="BF30" s="708" t="str">
        <f t="shared" si="2"/>
        <v>Cement:Sands:Aggregates (As Propertion Mix)</v>
      </c>
      <c r="BG30" s="692"/>
      <c r="BH30" s="693" t="str">
        <f>BF$13 &amp;" : "&amp;BF$14+BF$15+BF$16 &amp;" : "&amp; BF$17+BF$18+BF$19</f>
        <v>15 : 30 : 55</v>
      </c>
      <c r="BI30" s="709"/>
      <c r="BJ30" s="710"/>
      <c r="BK30" s="708" t="str">
        <f t="shared" si="3"/>
        <v>Cement:Sands:Aggregates (As Propertion Mix)</v>
      </c>
      <c r="BL30" s="698"/>
      <c r="BM30" s="693" t="str">
        <f>BK$13 &amp;" : "&amp;BK$14+BK$15+BK$16 &amp;" : "&amp; BK$17+BK$18+BK$19</f>
        <v>15 : 30 : 55</v>
      </c>
      <c r="BN30" s="709"/>
      <c r="BO30" s="710"/>
      <c r="BP30" s="708" t="str">
        <f t="shared" si="4"/>
        <v>Cement:Sands:Aggregates (As Propertion Mix)</v>
      </c>
      <c r="BQ30" s="698"/>
      <c r="BR30" s="693" t="str">
        <f>BP$13 &amp;" : "&amp;BP$14+BP$15+BP$16 &amp;" : "&amp; BP$17+BP$18+BP$19</f>
        <v>15 : 5 : 80</v>
      </c>
      <c r="BS30" s="709"/>
      <c r="BT30" s="710"/>
    </row>
    <row r="31" spans="1:75" s="11" customFormat="1" ht="16.5" customHeight="1" thickBot="1" x14ac:dyDescent="0.3">
      <c r="B31" s="358"/>
      <c r="C31" s="358"/>
      <c r="D31" s="358"/>
      <c r="F31" s="358"/>
      <c r="L31" s="358"/>
      <c r="N31" s="284"/>
      <c r="O31" s="284"/>
      <c r="R31" s="358"/>
      <c r="X31" s="358"/>
      <c r="AD31" s="358"/>
      <c r="AJ31" s="358"/>
      <c r="AP31" s="358"/>
    </row>
    <row r="32" spans="1:75" ht="20.25" customHeight="1" thickBot="1" x14ac:dyDescent="0.3">
      <c r="B32" s="358"/>
      <c r="C32" s="358"/>
      <c r="D32" s="358"/>
      <c r="E32" s="167"/>
      <c r="F32" s="364"/>
      <c r="G32" s="783" t="s">
        <v>444</v>
      </c>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784"/>
      <c r="AJ32" s="784"/>
      <c r="AK32" s="784"/>
      <c r="AL32" s="784"/>
      <c r="AM32" s="784"/>
      <c r="AN32" s="784"/>
      <c r="AO32" s="784"/>
      <c r="AP32" s="784"/>
      <c r="AQ32" s="785"/>
      <c r="AR32" s="785"/>
      <c r="AS32" s="785"/>
      <c r="AT32" s="785"/>
      <c r="AU32" s="786"/>
      <c r="AV32" s="166"/>
      <c r="AW32" s="166"/>
      <c r="AX32" s="166"/>
      <c r="AY32" s="4"/>
      <c r="AZ32" s="4"/>
      <c r="BA32" s="166"/>
      <c r="BB32" s="166"/>
      <c r="BC32" s="166"/>
      <c r="BD32" s="4"/>
      <c r="BE32" s="4"/>
      <c r="BF32" s="166"/>
      <c r="BG32" s="166"/>
      <c r="BH32" s="166"/>
      <c r="BI32" s="4"/>
      <c r="BJ32" s="4"/>
      <c r="BK32" s="166"/>
      <c r="BL32" s="166"/>
      <c r="BM32" s="166"/>
      <c r="BN32" s="4"/>
      <c r="BO32" s="4"/>
      <c r="BP32" s="166"/>
      <c r="BQ32" s="166"/>
      <c r="BR32" s="166"/>
      <c r="BS32" s="340"/>
      <c r="BT32" s="340"/>
      <c r="BW32" s="11"/>
    </row>
    <row r="33" spans="1:72" ht="15" customHeight="1" x14ac:dyDescent="0.25">
      <c r="B33" s="767" t="s">
        <v>419</v>
      </c>
      <c r="C33" s="768"/>
      <c r="D33" s="769"/>
      <c r="E33" s="663" t="s">
        <v>433</v>
      </c>
      <c r="F33" s="365"/>
      <c r="G33" s="813">
        <v>0</v>
      </c>
      <c r="H33" s="814"/>
      <c r="I33" s="814"/>
      <c r="J33" s="815"/>
      <c r="K33" s="816"/>
      <c r="L33" s="387"/>
      <c r="M33" s="813">
        <v>1</v>
      </c>
      <c r="N33" s="814"/>
      <c r="O33" s="814"/>
      <c r="P33" s="815"/>
      <c r="Q33" s="816"/>
      <c r="R33" s="387"/>
      <c r="S33" s="813">
        <v>1</v>
      </c>
      <c r="T33" s="814"/>
      <c r="U33" s="814"/>
      <c r="V33" s="815"/>
      <c r="W33" s="816"/>
      <c r="X33" s="387"/>
      <c r="Y33" s="813">
        <v>1</v>
      </c>
      <c r="Z33" s="814"/>
      <c r="AA33" s="814"/>
      <c r="AB33" s="815"/>
      <c r="AC33" s="816"/>
      <c r="AD33" s="387"/>
      <c r="AE33" s="813"/>
      <c r="AF33" s="814"/>
      <c r="AG33" s="814"/>
      <c r="AH33" s="815"/>
      <c r="AI33" s="816"/>
      <c r="AJ33" s="387"/>
      <c r="AK33" s="813"/>
      <c r="AL33" s="814"/>
      <c r="AM33" s="814"/>
      <c r="AN33" s="815"/>
      <c r="AO33" s="816"/>
      <c r="AP33" s="387"/>
      <c r="AQ33" s="813">
        <v>1</v>
      </c>
      <c r="AR33" s="814"/>
      <c r="AS33" s="814"/>
      <c r="AT33" s="815"/>
      <c r="AU33" s="816"/>
      <c r="AV33" s="313"/>
      <c r="AW33" s="313"/>
      <c r="AX33" s="313"/>
      <c r="AY33" s="314"/>
      <c r="AZ33" s="314"/>
      <c r="BA33" s="314"/>
      <c r="BB33" s="314"/>
      <c r="BC33" s="314"/>
      <c r="BD33" s="314"/>
      <c r="BE33" s="314"/>
      <c r="BF33" s="314"/>
      <c r="BG33" s="314"/>
      <c r="BH33" s="314"/>
      <c r="BI33" s="314"/>
      <c r="BJ33" s="314"/>
      <c r="BK33" s="314"/>
      <c r="BL33" s="314"/>
      <c r="BM33" s="314"/>
      <c r="BN33" s="314"/>
      <c r="BO33" s="314"/>
      <c r="BP33" s="334"/>
      <c r="BQ33" s="334"/>
      <c r="BR33" s="334"/>
      <c r="BS33" s="334"/>
      <c r="BT33" s="334"/>
    </row>
    <row r="34" spans="1:72" ht="15.75" customHeight="1" thickBot="1" x14ac:dyDescent="0.3">
      <c r="A34" s="204"/>
      <c r="B34" s="770"/>
      <c r="C34" s="771"/>
      <c r="D34" s="772"/>
      <c r="E34" s="327" t="s">
        <v>506</v>
      </c>
      <c r="F34" s="366"/>
      <c r="G34" s="820">
        <v>0.9</v>
      </c>
      <c r="H34" s="794"/>
      <c r="I34" s="794"/>
      <c r="J34" s="794"/>
      <c r="K34" s="795"/>
      <c r="L34" s="388"/>
      <c r="M34" s="820">
        <v>1</v>
      </c>
      <c r="N34" s="794"/>
      <c r="O34" s="794"/>
      <c r="P34" s="794"/>
      <c r="Q34" s="795"/>
      <c r="R34" s="388"/>
      <c r="S34" s="820">
        <v>1</v>
      </c>
      <c r="T34" s="794"/>
      <c r="U34" s="794"/>
      <c r="V34" s="794"/>
      <c r="W34" s="795"/>
      <c r="X34" s="388"/>
      <c r="Y34" s="820">
        <v>1</v>
      </c>
      <c r="Z34" s="794"/>
      <c r="AA34" s="794"/>
      <c r="AB34" s="794"/>
      <c r="AC34" s="795"/>
      <c r="AD34" s="388"/>
      <c r="AE34" s="820">
        <v>0</v>
      </c>
      <c r="AF34" s="794"/>
      <c r="AG34" s="794"/>
      <c r="AH34" s="794"/>
      <c r="AI34" s="795"/>
      <c r="AJ34" s="388"/>
      <c r="AK34" s="820">
        <v>0</v>
      </c>
      <c r="AL34" s="794"/>
      <c r="AM34" s="794"/>
      <c r="AN34" s="794"/>
      <c r="AO34" s="795"/>
      <c r="AP34" s="388"/>
      <c r="AQ34" s="820">
        <v>1</v>
      </c>
      <c r="AR34" s="794"/>
      <c r="AS34" s="794"/>
      <c r="AT34" s="794"/>
      <c r="AU34" s="795"/>
      <c r="AV34" s="798"/>
      <c r="AW34" s="798"/>
      <c r="AX34" s="798"/>
      <c r="AY34" s="799"/>
      <c r="AZ34" s="178"/>
      <c r="BA34" s="798"/>
      <c r="BB34" s="798"/>
      <c r="BC34" s="798"/>
      <c r="BD34" s="799"/>
      <c r="BE34" s="178"/>
      <c r="BF34" s="798"/>
      <c r="BG34" s="798"/>
      <c r="BH34" s="798"/>
      <c r="BI34" s="799"/>
      <c r="BJ34" s="178"/>
      <c r="BK34" s="798"/>
      <c r="BL34" s="798"/>
      <c r="BM34" s="798"/>
      <c r="BN34" s="799"/>
      <c r="BO34" s="178"/>
      <c r="BP34" s="798"/>
      <c r="BQ34" s="798"/>
      <c r="BR34" s="798"/>
      <c r="BS34" s="799"/>
      <c r="BT34" s="343"/>
    </row>
    <row r="35" spans="1:72" ht="18.75" thickBot="1" x14ac:dyDescent="0.3">
      <c r="B35" s="770"/>
      <c r="C35" s="771"/>
      <c r="D35" s="772"/>
      <c r="E35" s="664" t="s">
        <v>424</v>
      </c>
      <c r="F35" s="367"/>
      <c r="G35" s="850">
        <v>0.9</v>
      </c>
      <c r="H35" s="851"/>
      <c r="I35" s="851"/>
      <c r="J35" s="851"/>
      <c r="K35" s="852"/>
      <c r="L35" s="389"/>
      <c r="M35" s="850">
        <v>0.95</v>
      </c>
      <c r="N35" s="851"/>
      <c r="O35" s="851"/>
      <c r="P35" s="851"/>
      <c r="Q35" s="852"/>
      <c r="R35" s="389"/>
      <c r="S35" s="850">
        <v>0.95</v>
      </c>
      <c r="T35" s="851"/>
      <c r="U35" s="851"/>
      <c r="V35" s="851"/>
      <c r="W35" s="852"/>
      <c r="X35" s="389"/>
      <c r="Y35" s="850">
        <v>0.95</v>
      </c>
      <c r="Z35" s="851"/>
      <c r="AA35" s="851"/>
      <c r="AB35" s="851"/>
      <c r="AC35" s="852"/>
      <c r="AD35" s="389"/>
      <c r="AE35" s="850">
        <v>0</v>
      </c>
      <c r="AF35" s="851"/>
      <c r="AG35" s="851"/>
      <c r="AH35" s="851"/>
      <c r="AI35" s="852"/>
      <c r="AJ35" s="389"/>
      <c r="AK35" s="850">
        <v>0</v>
      </c>
      <c r="AL35" s="851"/>
      <c r="AM35" s="851"/>
      <c r="AN35" s="851"/>
      <c r="AO35" s="852"/>
      <c r="AP35" s="389"/>
      <c r="AQ35" s="850">
        <v>0.95</v>
      </c>
      <c r="AR35" s="851"/>
      <c r="AS35" s="851"/>
      <c r="AT35" s="851"/>
      <c r="AU35" s="852"/>
      <c r="AZ35" s="264"/>
      <c r="BA35" s="266"/>
      <c r="BB35" s="266"/>
      <c r="BC35" s="299"/>
      <c r="BD35" s="267"/>
      <c r="BE35" s="267"/>
      <c r="BF35" s="266"/>
      <c r="BG35" s="266"/>
      <c r="BH35" s="299"/>
      <c r="BI35" s="267"/>
      <c r="BJ35" s="267"/>
      <c r="BK35" s="263"/>
      <c r="BL35" s="263"/>
      <c r="BM35" s="302"/>
      <c r="BN35" s="264"/>
      <c r="BO35" s="264"/>
      <c r="BP35" s="341"/>
      <c r="BQ35" s="341"/>
      <c r="BR35" s="341"/>
      <c r="BS35" s="342"/>
      <c r="BT35" s="342"/>
    </row>
    <row r="36" spans="1:72" x14ac:dyDescent="0.25">
      <c r="A36" s="204"/>
      <c r="B36" s="770"/>
      <c r="C36" s="771"/>
      <c r="D36" s="772"/>
      <c r="E36" s="315" t="s">
        <v>322</v>
      </c>
      <c r="F36" s="365"/>
      <c r="G36" s="821">
        <v>0.28999999999999998</v>
      </c>
      <c r="H36" s="822"/>
      <c r="I36" s="822"/>
      <c r="J36" s="815"/>
      <c r="K36" s="816"/>
      <c r="L36" s="387"/>
      <c r="M36" s="821">
        <v>1</v>
      </c>
      <c r="N36" s="822"/>
      <c r="O36" s="822"/>
      <c r="P36" s="815"/>
      <c r="Q36" s="816"/>
      <c r="R36" s="387"/>
      <c r="S36" s="821">
        <v>1</v>
      </c>
      <c r="T36" s="822"/>
      <c r="U36" s="822"/>
      <c r="V36" s="815"/>
      <c r="W36" s="816"/>
      <c r="X36" s="387"/>
      <c r="Y36" s="821">
        <v>1</v>
      </c>
      <c r="Z36" s="822"/>
      <c r="AA36" s="822"/>
      <c r="AB36" s="815"/>
      <c r="AC36" s="816"/>
      <c r="AD36" s="387"/>
      <c r="AE36" s="821">
        <v>0</v>
      </c>
      <c r="AF36" s="822"/>
      <c r="AG36" s="822"/>
      <c r="AH36" s="815"/>
      <c r="AI36" s="816"/>
      <c r="AJ36" s="387"/>
      <c r="AK36" s="821">
        <v>0</v>
      </c>
      <c r="AL36" s="822"/>
      <c r="AM36" s="822"/>
      <c r="AN36" s="815"/>
      <c r="AO36" s="816"/>
      <c r="AP36" s="387"/>
      <c r="AQ36" s="821">
        <v>0</v>
      </c>
      <c r="AR36" s="822"/>
      <c r="AS36" s="822"/>
      <c r="AT36" s="815"/>
      <c r="AU36" s="816"/>
      <c r="AV36" s="802"/>
      <c r="AW36" s="802"/>
      <c r="AX36" s="802"/>
      <c r="AY36" s="801"/>
      <c r="AZ36" s="7"/>
      <c r="BA36" s="801"/>
      <c r="BB36" s="801"/>
      <c r="BC36" s="801"/>
      <c r="BD36" s="801"/>
      <c r="BE36" s="7"/>
      <c r="BF36" s="801"/>
      <c r="BG36" s="801"/>
      <c r="BH36" s="801"/>
      <c r="BI36" s="801"/>
      <c r="BJ36" s="7"/>
      <c r="BK36" s="800"/>
      <c r="BL36" s="800"/>
      <c r="BM36" s="800"/>
      <c r="BN36" s="801"/>
      <c r="BO36" s="7"/>
      <c r="BP36" s="800"/>
      <c r="BQ36" s="800"/>
      <c r="BR36" s="800"/>
      <c r="BS36" s="801"/>
      <c r="BT36" s="342"/>
    </row>
    <row r="37" spans="1:72" ht="18.75" thickBot="1" x14ac:dyDescent="0.3">
      <c r="A37" s="204"/>
      <c r="B37" s="773"/>
      <c r="C37" s="774"/>
      <c r="D37" s="775"/>
      <c r="E37" s="316" t="s">
        <v>388</v>
      </c>
      <c r="F37" s="366"/>
      <c r="G37" s="846">
        <v>0.01</v>
      </c>
      <c r="H37" s="847"/>
      <c r="I37" s="847"/>
      <c r="J37" s="848"/>
      <c r="K37" s="849"/>
      <c r="L37" s="388"/>
      <c r="M37" s="846">
        <v>1</v>
      </c>
      <c r="N37" s="847"/>
      <c r="O37" s="847"/>
      <c r="P37" s="848"/>
      <c r="Q37" s="849"/>
      <c r="R37" s="388"/>
      <c r="S37" s="846">
        <v>1</v>
      </c>
      <c r="T37" s="847"/>
      <c r="U37" s="847"/>
      <c r="V37" s="848"/>
      <c r="W37" s="849"/>
      <c r="X37" s="388"/>
      <c r="Y37" s="846">
        <v>1</v>
      </c>
      <c r="Z37" s="847"/>
      <c r="AA37" s="847"/>
      <c r="AB37" s="848"/>
      <c r="AC37" s="849"/>
      <c r="AD37" s="388"/>
      <c r="AE37" s="846">
        <v>0</v>
      </c>
      <c r="AF37" s="847"/>
      <c r="AG37" s="847"/>
      <c r="AH37" s="848"/>
      <c r="AI37" s="849"/>
      <c r="AJ37" s="388"/>
      <c r="AK37" s="846">
        <v>0</v>
      </c>
      <c r="AL37" s="847"/>
      <c r="AM37" s="847"/>
      <c r="AN37" s="848"/>
      <c r="AO37" s="849"/>
      <c r="AP37" s="388"/>
      <c r="AQ37" s="846">
        <v>1</v>
      </c>
      <c r="AR37" s="847"/>
      <c r="AS37" s="847"/>
      <c r="AT37" s="848"/>
      <c r="AU37" s="849"/>
      <c r="AZ37" s="7"/>
      <c r="BA37" s="796"/>
      <c r="BB37" s="796"/>
      <c r="BC37" s="796"/>
      <c r="BD37" s="797"/>
      <c r="BE37" s="4"/>
      <c r="BF37" s="796"/>
      <c r="BG37" s="796"/>
      <c r="BH37" s="796"/>
      <c r="BI37" s="797"/>
      <c r="BJ37" s="4"/>
      <c r="BK37" s="800"/>
      <c r="BL37" s="800"/>
      <c r="BM37" s="800"/>
      <c r="BN37" s="801"/>
      <c r="BO37" s="7"/>
      <c r="BP37" s="800"/>
      <c r="BQ37" s="800"/>
      <c r="BR37" s="800"/>
      <c r="BS37" s="801"/>
      <c r="BT37" s="342"/>
    </row>
    <row r="38" spans="1:72" x14ac:dyDescent="0.25">
      <c r="B38" s="665"/>
      <c r="C38" s="665"/>
      <c r="D38" s="665"/>
      <c r="E38" s="312"/>
      <c r="F38" s="368"/>
      <c r="G38" s="311"/>
      <c r="H38" s="161"/>
      <c r="I38" s="299"/>
      <c r="J38" s="7"/>
      <c r="K38" s="7"/>
      <c r="L38" s="334"/>
      <c r="M38" s="250"/>
      <c r="N38" s="285"/>
      <c r="O38" s="285"/>
      <c r="P38" s="249"/>
      <c r="Q38" s="252"/>
      <c r="R38" s="334"/>
      <c r="S38" s="161"/>
      <c r="T38" s="161"/>
      <c r="U38" s="299"/>
      <c r="V38" s="7"/>
      <c r="W38" s="160"/>
      <c r="X38" s="334"/>
      <c r="Y38" s="161"/>
      <c r="Z38" s="161"/>
      <c r="AA38" s="299"/>
      <c r="AB38" s="7"/>
      <c r="AC38" s="160"/>
      <c r="AD38" s="334"/>
      <c r="AE38" s="161"/>
      <c r="AF38" s="161"/>
      <c r="AG38" s="299"/>
      <c r="AH38" s="7"/>
      <c r="AI38" s="160"/>
      <c r="AJ38" s="334"/>
      <c r="AK38" s="161"/>
      <c r="AL38" s="161"/>
      <c r="AM38" s="299"/>
      <c r="AN38" s="7"/>
      <c r="AO38" s="160"/>
      <c r="AP38" s="334"/>
      <c r="AQ38" s="265"/>
      <c r="AR38" s="265"/>
      <c r="AS38" s="303"/>
      <c r="AT38" s="265"/>
      <c r="AU38" s="265"/>
      <c r="AV38" s="800"/>
      <c r="AW38" s="800"/>
      <c r="AX38" s="800"/>
      <c r="AY38" s="801"/>
      <c r="AZ38" s="7"/>
      <c r="BA38" s="800"/>
      <c r="BB38" s="800"/>
      <c r="BC38" s="800"/>
      <c r="BD38" s="801"/>
      <c r="BE38" s="7"/>
      <c r="BF38" s="800"/>
      <c r="BG38" s="800"/>
      <c r="BH38" s="800"/>
      <c r="BI38" s="801"/>
      <c r="BJ38" s="7"/>
      <c r="BK38" s="800"/>
      <c r="BL38" s="800"/>
      <c r="BM38" s="800"/>
      <c r="BN38" s="801"/>
      <c r="BO38" s="7"/>
      <c r="BP38" s="800"/>
      <c r="BQ38" s="800"/>
      <c r="BR38" s="800"/>
      <c r="BS38" s="801"/>
      <c r="BT38" s="342"/>
    </row>
    <row r="39" spans="1:72" ht="18.75" thickBot="1" x14ac:dyDescent="0.3">
      <c r="B39" s="665"/>
      <c r="C39" s="665"/>
      <c r="D39" s="665"/>
      <c r="E39" s="329"/>
      <c r="F39" s="368"/>
      <c r="G39" s="328"/>
      <c r="H39" s="328"/>
      <c r="I39" s="328"/>
      <c r="J39" s="331"/>
      <c r="K39" s="331"/>
      <c r="L39" s="334"/>
      <c r="M39" s="328"/>
      <c r="N39" s="285"/>
      <c r="O39" s="285"/>
      <c r="P39" s="331"/>
      <c r="Q39" s="332"/>
      <c r="R39" s="334"/>
      <c r="S39" s="328"/>
      <c r="T39" s="328"/>
      <c r="U39" s="328"/>
      <c r="V39" s="331"/>
      <c r="W39" s="332"/>
      <c r="X39" s="334"/>
      <c r="Y39" s="328"/>
      <c r="Z39" s="328"/>
      <c r="AA39" s="328"/>
      <c r="AB39" s="331"/>
      <c r="AC39" s="332"/>
      <c r="AD39" s="334"/>
      <c r="AE39" s="328"/>
      <c r="AF39" s="328"/>
      <c r="AG39" s="328"/>
      <c r="AH39" s="331"/>
      <c r="AI39" s="332"/>
      <c r="AJ39" s="334"/>
      <c r="AK39" s="328"/>
      <c r="AL39" s="328"/>
      <c r="AM39" s="328"/>
      <c r="AN39" s="331"/>
      <c r="AO39" s="332"/>
      <c r="AP39" s="334"/>
      <c r="AQ39" s="332"/>
      <c r="AR39" s="332"/>
      <c r="AS39" s="332"/>
      <c r="AT39" s="332"/>
      <c r="AU39" s="332"/>
      <c r="AV39" s="330"/>
      <c r="AW39" s="330"/>
      <c r="AX39" s="330"/>
      <c r="AY39" s="331"/>
      <c r="AZ39" s="331"/>
      <c r="BA39" s="330"/>
      <c r="BB39" s="330"/>
      <c r="BC39" s="330"/>
      <c r="BD39" s="331"/>
      <c r="BE39" s="331"/>
      <c r="BF39" s="330"/>
      <c r="BG39" s="330"/>
      <c r="BH39" s="330"/>
      <c r="BI39" s="331"/>
      <c r="BJ39" s="331"/>
      <c r="BK39" s="330"/>
      <c r="BL39" s="330"/>
      <c r="BM39" s="330"/>
      <c r="BN39" s="331"/>
      <c r="BO39" s="331"/>
      <c r="BP39" s="341"/>
      <c r="BQ39" s="341"/>
      <c r="BR39" s="341"/>
      <c r="BS39" s="342"/>
      <c r="BT39" s="342"/>
    </row>
    <row r="40" spans="1:72" ht="21.75" customHeight="1" thickBot="1" x14ac:dyDescent="0.3">
      <c r="B40" s="665"/>
      <c r="C40" s="665"/>
      <c r="D40" s="665"/>
      <c r="E40" s="4"/>
      <c r="F40" s="368"/>
      <c r="G40" s="827" t="s">
        <v>199</v>
      </c>
      <c r="H40" s="853"/>
      <c r="I40" s="853"/>
      <c r="J40" s="853"/>
      <c r="K40" s="853"/>
      <c r="L40" s="853"/>
      <c r="M40" s="853"/>
      <c r="N40" s="853"/>
      <c r="O40" s="853"/>
      <c r="P40" s="853"/>
      <c r="Q40" s="853"/>
      <c r="R40" s="853"/>
      <c r="S40" s="853"/>
      <c r="T40" s="853"/>
      <c r="U40" s="853"/>
      <c r="V40" s="853"/>
      <c r="W40" s="853"/>
      <c r="X40" s="853"/>
      <c r="Y40" s="853"/>
      <c r="Z40" s="853"/>
      <c r="AA40" s="853"/>
      <c r="AB40" s="853"/>
      <c r="AC40" s="853"/>
      <c r="AD40" s="853"/>
      <c r="AE40" s="853"/>
      <c r="AF40" s="853"/>
      <c r="AG40" s="853"/>
      <c r="AH40" s="853"/>
      <c r="AI40" s="853"/>
      <c r="AJ40" s="853"/>
      <c r="AK40" s="853"/>
      <c r="AL40" s="853"/>
      <c r="AM40" s="853"/>
      <c r="AN40" s="853"/>
      <c r="AO40" s="854"/>
      <c r="AP40" s="335"/>
      <c r="AQ40" s="268"/>
      <c r="AR40" s="268"/>
      <c r="AS40" s="301"/>
      <c r="AT40" s="268"/>
      <c r="AU40" s="268"/>
      <c r="AV40" s="865" t="s">
        <v>198</v>
      </c>
      <c r="AW40" s="866"/>
      <c r="AX40" s="866"/>
      <c r="AY40" s="867"/>
      <c r="AZ40" s="867"/>
      <c r="BA40" s="867"/>
      <c r="BB40" s="867"/>
      <c r="BC40" s="867"/>
      <c r="BD40" s="867"/>
      <c r="BE40" s="867"/>
      <c r="BF40" s="867"/>
      <c r="BG40" s="867"/>
      <c r="BH40" s="867"/>
      <c r="BI40" s="867"/>
      <c r="BJ40" s="867"/>
      <c r="BK40" s="867"/>
      <c r="BL40" s="867"/>
      <c r="BM40" s="867"/>
      <c r="BN40" s="867"/>
      <c r="BO40" s="864"/>
      <c r="BP40" s="841"/>
      <c r="BQ40" s="841"/>
      <c r="BR40" s="841"/>
      <c r="BS40" s="841"/>
      <c r="BT40" s="840"/>
    </row>
    <row r="41" spans="1:72" ht="36" customHeight="1" thickBot="1" x14ac:dyDescent="0.3">
      <c r="A41" s="204"/>
      <c r="B41" s="749" t="s">
        <v>64</v>
      </c>
      <c r="C41" s="759"/>
      <c r="D41" s="760"/>
      <c r="E41" s="347" t="s">
        <v>9</v>
      </c>
      <c r="F41" s="369"/>
      <c r="G41" s="817" t="s">
        <v>401</v>
      </c>
      <c r="H41" s="818"/>
      <c r="I41" s="818"/>
      <c r="J41" s="818"/>
      <c r="K41" s="819"/>
      <c r="L41" s="369"/>
      <c r="M41" s="817" t="s">
        <v>401</v>
      </c>
      <c r="N41" s="818"/>
      <c r="O41" s="818"/>
      <c r="P41" s="818"/>
      <c r="Q41" s="819"/>
      <c r="R41" s="369"/>
      <c r="S41" s="817" t="s">
        <v>401</v>
      </c>
      <c r="T41" s="818"/>
      <c r="U41" s="818"/>
      <c r="V41" s="818"/>
      <c r="W41" s="819"/>
      <c r="X41" s="369"/>
      <c r="Y41" s="817" t="s">
        <v>401</v>
      </c>
      <c r="Z41" s="818"/>
      <c r="AA41" s="818"/>
      <c r="AB41" s="818"/>
      <c r="AC41" s="819"/>
      <c r="AD41" s="369"/>
      <c r="AE41" s="817" t="s">
        <v>401</v>
      </c>
      <c r="AF41" s="818"/>
      <c r="AG41" s="818"/>
      <c r="AH41" s="818"/>
      <c r="AI41" s="819"/>
      <c r="AJ41" s="369"/>
      <c r="AK41" s="817" t="s">
        <v>401</v>
      </c>
      <c r="AL41" s="818"/>
      <c r="AM41" s="818"/>
      <c r="AN41" s="818"/>
      <c r="AO41" s="819"/>
      <c r="AP41" s="369"/>
      <c r="AQ41" s="817" t="s">
        <v>380</v>
      </c>
      <c r="AR41" s="818"/>
      <c r="AS41" s="818"/>
      <c r="AT41" s="818"/>
      <c r="AU41" s="819"/>
      <c r="AV41" s="730" t="str">
        <f t="shared" ref="AV41:AV50" si="5">IF(AV$7&gt;0, AV$7 &amp; " Mass% " &amp; $G41,"") &amp; IF(AV$8&gt;0," and " &amp; AV$8 &amp; " Mass% " &amp; $M41,"")&amp; IF(AV$9&gt;0, " and " &amp; AV$9 &amp; " Mass% "  &amp; $S41,"")  &amp; IF(AV$10&gt;0," and " &amp; AV$10 &amp; " Mass% "  &amp; $Y41,"")  &amp; IF(AV$11&gt;0, " and " &amp; AV$11 &amp; " Mass% "  &amp; $AE41,"")  &amp; IF( AV$12&gt;0, " and " &amp; AV$12 &amp; " Mass% "  &amp; $AK41,"")</f>
        <v>7 Mass% Machine and vehicle diesel and 0.75 Mass% Machine and vehicle diesel and 3 Mass% Machine and vehicle diesel and 3 Mass% Machine and vehicle diesel</v>
      </c>
      <c r="AW41" s="731"/>
      <c r="AX41" s="731"/>
      <c r="AY41" s="732"/>
      <c r="AZ41" s="733"/>
      <c r="BA41" s="730" t="str">
        <f t="shared" ref="BA41:BA50" si="6">IF(AV$7&gt;0, AV$7 &amp; " Mass% " &amp; $G41,"") &amp; IF(AV$8&gt;0," and " &amp; AV$8 &amp; " Mass% " &amp; $M41,"")&amp; IF(AV$9&gt;0, " and " &amp; AV$9 &amp; " Mass% "  &amp; $S41,"")  &amp; IF(AV$10&gt;0," and " &amp; AV$10 &amp; " Mass% "  &amp; $Y41,"")  &amp; IF(AV$11&gt;0, " and " &amp; AV$11 &amp; " Mass% "  &amp; $AE41,"")  &amp; IF( AV$12&gt;0, " and " &amp; AV$12 &amp; " Mass% "  &amp; $AK41,"")</f>
        <v>7 Mass% Machine and vehicle diesel and 0.75 Mass% Machine and vehicle diesel and 3 Mass% Machine and vehicle diesel and 3 Mass% Machine and vehicle diesel</v>
      </c>
      <c r="BB41" s="731"/>
      <c r="BC41" s="731"/>
      <c r="BD41" s="732"/>
      <c r="BE41" s="733"/>
      <c r="BF41" s="730" t="str">
        <f t="shared" ref="BF41:BF50" si="7">IF(AV$7&gt;0, AV$7 &amp; " Mass% " &amp; $G41,"") &amp; IF(AV$8&gt;0," and " &amp; AV$8 &amp; " Mass% " &amp; $M41,"")&amp; IF(AV$9&gt;0, " and " &amp; AV$9 &amp; " Mass% "  &amp; $S41,"")  &amp; IF(AV$10&gt;0," and " &amp; AV$10 &amp; " Mass% "  &amp; $Y41,"")  &amp; IF(AV$11&gt;0, " and " &amp; AV$11 &amp; " Mass% "  &amp; $AE41,"")  &amp; IF( AV$12&gt;0, " and " &amp; AV$12 &amp; " Mass% "  &amp; $AK41,"")</f>
        <v>7 Mass% Machine and vehicle diesel and 0.75 Mass% Machine and vehicle diesel and 3 Mass% Machine and vehicle diesel and 3 Mass% Machine and vehicle diesel</v>
      </c>
      <c r="BG41" s="731"/>
      <c r="BH41" s="731"/>
      <c r="BI41" s="732"/>
      <c r="BJ41" s="733"/>
      <c r="BK41" s="730" t="str">
        <f t="shared" ref="BK41:BK50" si="8">IF(AV$7&gt;0, AV$7 &amp; " Mass% " &amp; $G41,"") &amp; IF(AV$8&gt;0," and " &amp; AV$8 &amp; " Mass% " &amp; $M41,"")&amp; IF(AV$9&gt;0, " and " &amp; AV$9 &amp; " Mass% "  &amp; $S41,"")  &amp; IF(AV$10&gt;0," and " &amp; AV$10 &amp; " Mass% "  &amp; $Y41,"")  &amp; IF(AV$11&gt;0, " and " &amp; AV$11 &amp; " Mass% "  &amp; $AE41,"")  &amp; IF( AV$12&gt;0, " and " &amp; AV$12 &amp; " Mass% "  &amp; $AK41,"")</f>
        <v>7 Mass% Machine and vehicle diesel and 0.75 Mass% Machine and vehicle diesel and 3 Mass% Machine and vehicle diesel and 3 Mass% Machine and vehicle diesel</v>
      </c>
      <c r="BL41" s="731"/>
      <c r="BM41" s="731"/>
      <c r="BN41" s="732"/>
      <c r="BO41" s="733"/>
      <c r="BP41" s="730" t="str">
        <f t="shared" ref="BP41:BP50" si="9">IF(BA$7&gt;0, BA$7 &amp; " Mass% " &amp; $G41,"") &amp; IF(BA$8&gt;0," and " &amp; BA$8 &amp; " Mass% " &amp; $M41,"")&amp; IF(BA$9&gt;0, " and " &amp; BA$9 &amp; " Mass% "  &amp; $S41,"")  &amp; IF(BA$10&gt;0," and " &amp; BA$10 &amp; " Mass% "  &amp; $Y41,"")  &amp; IF(BA$11&gt;0, " and " &amp; BA$11 &amp; " Mass% "  &amp; $AE41,"")  &amp; IF( BA$12&gt;0, " and " &amp; BA$12 &amp; " Mass% "  &amp; $AK41,"")</f>
        <v>4 Mass% Machine and vehicle diesel and 11 Mass% Machine and vehicle diesel</v>
      </c>
      <c r="BQ41" s="731"/>
      <c r="BR41" s="731"/>
      <c r="BS41" s="732"/>
      <c r="BT41" s="733"/>
    </row>
    <row r="42" spans="1:72" ht="36" customHeight="1" thickBot="1" x14ac:dyDescent="0.3">
      <c r="A42" s="204"/>
      <c r="B42" s="761"/>
      <c r="C42" s="762"/>
      <c r="D42" s="763"/>
      <c r="E42" s="348" t="s">
        <v>18</v>
      </c>
      <c r="F42" s="370"/>
      <c r="G42" s="724" t="s">
        <v>401</v>
      </c>
      <c r="H42" s="725"/>
      <c r="I42" s="725"/>
      <c r="J42" s="725"/>
      <c r="K42" s="726"/>
      <c r="L42" s="370"/>
      <c r="M42" s="724" t="s">
        <v>401</v>
      </c>
      <c r="N42" s="725"/>
      <c r="O42" s="725"/>
      <c r="P42" s="725"/>
      <c r="Q42" s="726"/>
      <c r="R42" s="370"/>
      <c r="S42" s="724" t="s">
        <v>401</v>
      </c>
      <c r="T42" s="725"/>
      <c r="U42" s="725"/>
      <c r="V42" s="725"/>
      <c r="W42" s="726"/>
      <c r="X42" s="370"/>
      <c r="Y42" s="724" t="s">
        <v>401</v>
      </c>
      <c r="Z42" s="725"/>
      <c r="AA42" s="725"/>
      <c r="AB42" s="725"/>
      <c r="AC42" s="726"/>
      <c r="AD42" s="370"/>
      <c r="AE42" s="724" t="s">
        <v>401</v>
      </c>
      <c r="AF42" s="725"/>
      <c r="AG42" s="725"/>
      <c r="AH42" s="725"/>
      <c r="AI42" s="726"/>
      <c r="AJ42" s="370"/>
      <c r="AK42" s="724" t="s">
        <v>401</v>
      </c>
      <c r="AL42" s="725"/>
      <c r="AM42" s="725"/>
      <c r="AN42" s="725"/>
      <c r="AO42" s="726"/>
      <c r="AP42" s="370"/>
      <c r="AQ42" s="724" t="s">
        <v>380</v>
      </c>
      <c r="AR42" s="725"/>
      <c r="AS42" s="725"/>
      <c r="AT42" s="725"/>
      <c r="AU42" s="726"/>
      <c r="AV42" s="730" t="str">
        <f t="shared" si="5"/>
        <v>7 Mass% Machine and vehicle diesel and 0.75 Mass% Machine and vehicle diesel and 3 Mass% Machine and vehicle diesel and 3 Mass% Machine and vehicle diesel</v>
      </c>
      <c r="AW42" s="731"/>
      <c r="AX42" s="731"/>
      <c r="AY42" s="732"/>
      <c r="AZ42" s="733"/>
      <c r="BA42" s="730" t="str">
        <f t="shared" si="6"/>
        <v>7 Mass% Machine and vehicle diesel and 0.75 Mass% Machine and vehicle diesel and 3 Mass% Machine and vehicle diesel and 3 Mass% Machine and vehicle diesel</v>
      </c>
      <c r="BB42" s="731"/>
      <c r="BC42" s="731"/>
      <c r="BD42" s="732"/>
      <c r="BE42" s="733"/>
      <c r="BF42" s="730" t="str">
        <f t="shared" si="7"/>
        <v>7 Mass% Machine and vehicle diesel and 0.75 Mass% Machine and vehicle diesel and 3 Mass% Machine and vehicle diesel and 3 Mass% Machine and vehicle diesel</v>
      </c>
      <c r="BG42" s="731"/>
      <c r="BH42" s="731"/>
      <c r="BI42" s="732"/>
      <c r="BJ42" s="733"/>
      <c r="BK42" s="730" t="str">
        <f t="shared" si="8"/>
        <v>7 Mass% Machine and vehicle diesel and 0.75 Mass% Machine and vehicle diesel and 3 Mass% Machine and vehicle diesel and 3 Mass% Machine and vehicle diesel</v>
      </c>
      <c r="BL42" s="731"/>
      <c r="BM42" s="731"/>
      <c r="BN42" s="732"/>
      <c r="BO42" s="733"/>
      <c r="BP42" s="730" t="str">
        <f t="shared" si="9"/>
        <v>4 Mass% Machine and vehicle diesel and 11 Mass% Machine and vehicle diesel</v>
      </c>
      <c r="BQ42" s="731"/>
      <c r="BR42" s="731"/>
      <c r="BS42" s="732"/>
      <c r="BT42" s="733"/>
    </row>
    <row r="43" spans="1:72" ht="36" customHeight="1" thickBot="1" x14ac:dyDescent="0.3">
      <c r="A43" s="204"/>
      <c r="B43" s="761"/>
      <c r="C43" s="762"/>
      <c r="D43" s="763"/>
      <c r="E43" s="348" t="s">
        <v>56</v>
      </c>
      <c r="F43" s="370"/>
      <c r="G43" s="724" t="s">
        <v>386</v>
      </c>
      <c r="H43" s="725"/>
      <c r="I43" s="725"/>
      <c r="J43" s="725"/>
      <c r="K43" s="726"/>
      <c r="L43" s="370"/>
      <c r="M43" s="724" t="s">
        <v>386</v>
      </c>
      <c r="N43" s="725"/>
      <c r="O43" s="725"/>
      <c r="P43" s="725"/>
      <c r="Q43" s="726"/>
      <c r="R43" s="370"/>
      <c r="S43" s="724" t="s">
        <v>386</v>
      </c>
      <c r="T43" s="725"/>
      <c r="U43" s="725"/>
      <c r="V43" s="725"/>
      <c r="W43" s="726"/>
      <c r="X43" s="370"/>
      <c r="Y43" s="724" t="s">
        <v>386</v>
      </c>
      <c r="Z43" s="725"/>
      <c r="AA43" s="725"/>
      <c r="AB43" s="725"/>
      <c r="AC43" s="726"/>
      <c r="AD43" s="370"/>
      <c r="AE43" s="724" t="s">
        <v>386</v>
      </c>
      <c r="AF43" s="725"/>
      <c r="AG43" s="725"/>
      <c r="AH43" s="725"/>
      <c r="AI43" s="726"/>
      <c r="AJ43" s="370"/>
      <c r="AK43" s="724" t="s">
        <v>386</v>
      </c>
      <c r="AL43" s="725"/>
      <c r="AM43" s="725"/>
      <c r="AN43" s="725"/>
      <c r="AO43" s="726"/>
      <c r="AP43" s="370"/>
      <c r="AQ43" s="724" t="s">
        <v>380</v>
      </c>
      <c r="AR43" s="725"/>
      <c r="AS43" s="725"/>
      <c r="AT43" s="725"/>
      <c r="AU43" s="726"/>
      <c r="AV43" s="730" t="str">
        <f t="shared" si="5"/>
        <v>7 Mass% Electricity and 0.75 Mass% Electricity and 3 Mass% Electricity and 3 Mass% Electricity</v>
      </c>
      <c r="AW43" s="731"/>
      <c r="AX43" s="731"/>
      <c r="AY43" s="732"/>
      <c r="AZ43" s="733"/>
      <c r="BA43" s="730" t="str">
        <f t="shared" si="6"/>
        <v>7 Mass% Electricity and 0.75 Mass% Electricity and 3 Mass% Electricity and 3 Mass% Electricity</v>
      </c>
      <c r="BB43" s="731"/>
      <c r="BC43" s="731"/>
      <c r="BD43" s="732"/>
      <c r="BE43" s="733"/>
      <c r="BF43" s="730" t="str">
        <f t="shared" si="7"/>
        <v>7 Mass% Electricity and 0.75 Mass% Electricity and 3 Mass% Electricity and 3 Mass% Electricity</v>
      </c>
      <c r="BG43" s="731"/>
      <c r="BH43" s="731"/>
      <c r="BI43" s="732"/>
      <c r="BJ43" s="733"/>
      <c r="BK43" s="730" t="str">
        <f t="shared" si="8"/>
        <v>7 Mass% Electricity and 0.75 Mass% Electricity and 3 Mass% Electricity and 3 Mass% Electricity</v>
      </c>
      <c r="BL43" s="731"/>
      <c r="BM43" s="731"/>
      <c r="BN43" s="732"/>
      <c r="BO43" s="733"/>
      <c r="BP43" s="730" t="str">
        <f t="shared" si="9"/>
        <v>4 Mass% Electricity and 11 Mass% Electricity</v>
      </c>
      <c r="BQ43" s="731"/>
      <c r="BR43" s="731"/>
      <c r="BS43" s="732"/>
      <c r="BT43" s="733"/>
    </row>
    <row r="44" spans="1:72" ht="36" customHeight="1" thickBot="1" x14ac:dyDescent="0.3">
      <c r="A44" s="204"/>
      <c r="B44" s="761"/>
      <c r="C44" s="762"/>
      <c r="D44" s="763"/>
      <c r="E44" s="348" t="s">
        <v>57</v>
      </c>
      <c r="F44" s="370"/>
      <c r="G44" s="724" t="s">
        <v>386</v>
      </c>
      <c r="H44" s="725"/>
      <c r="I44" s="725"/>
      <c r="J44" s="725"/>
      <c r="K44" s="726"/>
      <c r="L44" s="370"/>
      <c r="M44" s="724" t="s">
        <v>386</v>
      </c>
      <c r="N44" s="725"/>
      <c r="O44" s="725"/>
      <c r="P44" s="725"/>
      <c r="Q44" s="726"/>
      <c r="R44" s="370"/>
      <c r="S44" s="724" t="s">
        <v>386</v>
      </c>
      <c r="T44" s="725"/>
      <c r="U44" s="725"/>
      <c r="V44" s="725"/>
      <c r="W44" s="726"/>
      <c r="X44" s="370"/>
      <c r="Y44" s="724" t="s">
        <v>386</v>
      </c>
      <c r="Z44" s="725"/>
      <c r="AA44" s="725"/>
      <c r="AB44" s="725"/>
      <c r="AC44" s="726"/>
      <c r="AD44" s="370"/>
      <c r="AE44" s="724" t="s">
        <v>386</v>
      </c>
      <c r="AF44" s="725"/>
      <c r="AG44" s="725"/>
      <c r="AH44" s="725"/>
      <c r="AI44" s="726"/>
      <c r="AJ44" s="370"/>
      <c r="AK44" s="724" t="s">
        <v>386</v>
      </c>
      <c r="AL44" s="725"/>
      <c r="AM44" s="725"/>
      <c r="AN44" s="725"/>
      <c r="AO44" s="726"/>
      <c r="AP44" s="370"/>
      <c r="AQ44" s="724" t="s">
        <v>380</v>
      </c>
      <c r="AR44" s="725"/>
      <c r="AS44" s="725"/>
      <c r="AT44" s="725"/>
      <c r="AU44" s="726"/>
      <c r="AV44" s="730" t="str">
        <f t="shared" si="5"/>
        <v>7 Mass% Electricity and 0.75 Mass% Electricity and 3 Mass% Electricity and 3 Mass% Electricity</v>
      </c>
      <c r="AW44" s="731"/>
      <c r="AX44" s="731"/>
      <c r="AY44" s="732"/>
      <c r="AZ44" s="733"/>
      <c r="BA44" s="730" t="str">
        <f t="shared" si="6"/>
        <v>7 Mass% Electricity and 0.75 Mass% Electricity and 3 Mass% Electricity and 3 Mass% Electricity</v>
      </c>
      <c r="BB44" s="731"/>
      <c r="BC44" s="731"/>
      <c r="BD44" s="732"/>
      <c r="BE44" s="733"/>
      <c r="BF44" s="730" t="str">
        <f t="shared" si="7"/>
        <v>7 Mass% Electricity and 0.75 Mass% Electricity and 3 Mass% Electricity and 3 Mass% Electricity</v>
      </c>
      <c r="BG44" s="731"/>
      <c r="BH44" s="731"/>
      <c r="BI44" s="732"/>
      <c r="BJ44" s="733"/>
      <c r="BK44" s="730" t="str">
        <f t="shared" si="8"/>
        <v>7 Mass% Electricity and 0.75 Mass% Electricity and 3 Mass% Electricity and 3 Mass% Electricity</v>
      </c>
      <c r="BL44" s="731"/>
      <c r="BM44" s="731"/>
      <c r="BN44" s="732"/>
      <c r="BO44" s="733"/>
      <c r="BP44" s="730" t="str">
        <f t="shared" si="9"/>
        <v>4 Mass% Electricity and 11 Mass% Electricity</v>
      </c>
      <c r="BQ44" s="731"/>
      <c r="BR44" s="731"/>
      <c r="BS44" s="732"/>
      <c r="BT44" s="733"/>
    </row>
    <row r="45" spans="1:72" ht="36" customHeight="1" thickBot="1" x14ac:dyDescent="0.3">
      <c r="A45" s="204"/>
      <c r="B45" s="761"/>
      <c r="C45" s="762"/>
      <c r="D45" s="763"/>
      <c r="E45" s="348" t="s">
        <v>58</v>
      </c>
      <c r="F45" s="370"/>
      <c r="G45" s="724" t="s">
        <v>386</v>
      </c>
      <c r="H45" s="725"/>
      <c r="I45" s="725"/>
      <c r="J45" s="725"/>
      <c r="K45" s="726"/>
      <c r="L45" s="370"/>
      <c r="M45" s="724" t="s">
        <v>386</v>
      </c>
      <c r="N45" s="725"/>
      <c r="O45" s="725"/>
      <c r="P45" s="725"/>
      <c r="Q45" s="726"/>
      <c r="R45" s="370"/>
      <c r="S45" s="724" t="s">
        <v>386</v>
      </c>
      <c r="T45" s="725"/>
      <c r="U45" s="725"/>
      <c r="V45" s="725"/>
      <c r="W45" s="726"/>
      <c r="X45" s="370"/>
      <c r="Y45" s="724" t="s">
        <v>386</v>
      </c>
      <c r="Z45" s="725"/>
      <c r="AA45" s="725"/>
      <c r="AB45" s="725"/>
      <c r="AC45" s="726"/>
      <c r="AD45" s="370"/>
      <c r="AE45" s="724" t="s">
        <v>386</v>
      </c>
      <c r="AF45" s="725"/>
      <c r="AG45" s="725"/>
      <c r="AH45" s="725"/>
      <c r="AI45" s="726"/>
      <c r="AJ45" s="370"/>
      <c r="AK45" s="724" t="s">
        <v>386</v>
      </c>
      <c r="AL45" s="725"/>
      <c r="AM45" s="725"/>
      <c r="AN45" s="725"/>
      <c r="AO45" s="726"/>
      <c r="AP45" s="370"/>
      <c r="AQ45" s="724" t="s">
        <v>380</v>
      </c>
      <c r="AR45" s="725"/>
      <c r="AS45" s="725"/>
      <c r="AT45" s="725"/>
      <c r="AU45" s="726"/>
      <c r="AV45" s="730" t="str">
        <f t="shared" si="5"/>
        <v>7 Mass% Electricity and 0.75 Mass% Electricity and 3 Mass% Electricity and 3 Mass% Electricity</v>
      </c>
      <c r="AW45" s="731"/>
      <c r="AX45" s="731"/>
      <c r="AY45" s="732"/>
      <c r="AZ45" s="733"/>
      <c r="BA45" s="730" t="str">
        <f t="shared" si="6"/>
        <v>7 Mass% Electricity and 0.75 Mass% Electricity and 3 Mass% Electricity and 3 Mass% Electricity</v>
      </c>
      <c r="BB45" s="731"/>
      <c r="BC45" s="731"/>
      <c r="BD45" s="732"/>
      <c r="BE45" s="733"/>
      <c r="BF45" s="730" t="str">
        <f t="shared" si="7"/>
        <v>7 Mass% Electricity and 0.75 Mass% Electricity and 3 Mass% Electricity and 3 Mass% Electricity</v>
      </c>
      <c r="BG45" s="731"/>
      <c r="BH45" s="731"/>
      <c r="BI45" s="732"/>
      <c r="BJ45" s="733"/>
      <c r="BK45" s="730" t="str">
        <f t="shared" si="8"/>
        <v>7 Mass% Electricity and 0.75 Mass% Electricity and 3 Mass% Electricity and 3 Mass% Electricity</v>
      </c>
      <c r="BL45" s="731"/>
      <c r="BM45" s="731"/>
      <c r="BN45" s="732"/>
      <c r="BO45" s="733"/>
      <c r="BP45" s="730" t="str">
        <f t="shared" si="9"/>
        <v>4 Mass% Electricity and 11 Mass% Electricity</v>
      </c>
      <c r="BQ45" s="731"/>
      <c r="BR45" s="731"/>
      <c r="BS45" s="732"/>
      <c r="BT45" s="733"/>
    </row>
    <row r="46" spans="1:72" ht="36" customHeight="1" thickBot="1" x14ac:dyDescent="0.3">
      <c r="A46" s="204"/>
      <c r="B46" s="761"/>
      <c r="C46" s="762"/>
      <c r="D46" s="763"/>
      <c r="E46" s="348" t="s">
        <v>381</v>
      </c>
      <c r="F46" s="370"/>
      <c r="G46" s="724" t="s">
        <v>380</v>
      </c>
      <c r="H46" s="725"/>
      <c r="I46" s="725"/>
      <c r="J46" s="725"/>
      <c r="K46" s="726"/>
      <c r="L46" s="370"/>
      <c r="M46" s="724" t="s">
        <v>381</v>
      </c>
      <c r="N46" s="725"/>
      <c r="O46" s="725"/>
      <c r="P46" s="725"/>
      <c r="Q46" s="726"/>
      <c r="R46" s="370"/>
      <c r="S46" s="724" t="s">
        <v>381</v>
      </c>
      <c r="T46" s="725"/>
      <c r="U46" s="725"/>
      <c r="V46" s="725"/>
      <c r="W46" s="726"/>
      <c r="X46" s="370"/>
      <c r="Y46" s="724" t="s">
        <v>381</v>
      </c>
      <c r="Z46" s="725"/>
      <c r="AA46" s="725"/>
      <c r="AB46" s="725"/>
      <c r="AC46" s="726"/>
      <c r="AD46" s="370"/>
      <c r="AE46" s="724" t="s">
        <v>386</v>
      </c>
      <c r="AF46" s="725"/>
      <c r="AG46" s="725"/>
      <c r="AH46" s="725"/>
      <c r="AI46" s="726"/>
      <c r="AJ46" s="370"/>
      <c r="AK46" s="724" t="s">
        <v>386</v>
      </c>
      <c r="AL46" s="725"/>
      <c r="AM46" s="725"/>
      <c r="AN46" s="725"/>
      <c r="AO46" s="726"/>
      <c r="AP46" s="370"/>
      <c r="AQ46" s="724" t="s">
        <v>500</v>
      </c>
      <c r="AR46" s="725"/>
      <c r="AS46" s="725"/>
      <c r="AT46" s="725"/>
      <c r="AU46" s="726"/>
      <c r="AV46" s="730" t="str">
        <f t="shared" si="5"/>
        <v>7 Mass% N/A and 0.75 Mass% Other process and 3 Mass% Electricity and 3 Mass% Electricity</v>
      </c>
      <c r="AW46" s="731"/>
      <c r="AX46" s="731"/>
      <c r="AY46" s="732"/>
      <c r="AZ46" s="733"/>
      <c r="BA46" s="730" t="str">
        <f t="shared" si="6"/>
        <v>7 Mass% N/A and 0.75 Mass% Other process and 3 Mass% Electricity and 3 Mass% Electricity</v>
      </c>
      <c r="BB46" s="731"/>
      <c r="BC46" s="731"/>
      <c r="BD46" s="732"/>
      <c r="BE46" s="733"/>
      <c r="BF46" s="730" t="str">
        <f t="shared" si="7"/>
        <v>7 Mass% N/A and 0.75 Mass% Other process and 3 Mass% Electricity and 3 Mass% Electricity</v>
      </c>
      <c r="BG46" s="731"/>
      <c r="BH46" s="731"/>
      <c r="BI46" s="732"/>
      <c r="BJ46" s="733"/>
      <c r="BK46" s="730" t="str">
        <f t="shared" si="8"/>
        <v>7 Mass% N/A and 0.75 Mass% Other process and 3 Mass% Electricity and 3 Mass% Electricity</v>
      </c>
      <c r="BL46" s="731"/>
      <c r="BM46" s="731"/>
      <c r="BN46" s="732"/>
      <c r="BO46" s="733"/>
      <c r="BP46" s="730" t="str">
        <f t="shared" si="9"/>
        <v>4 Mass% N/A and 11 Mass% Other process</v>
      </c>
      <c r="BQ46" s="731"/>
      <c r="BR46" s="731"/>
      <c r="BS46" s="732"/>
      <c r="BT46" s="733"/>
    </row>
    <row r="47" spans="1:72" ht="36" customHeight="1" thickBot="1" x14ac:dyDescent="0.3">
      <c r="A47" s="204"/>
      <c r="B47" s="761"/>
      <c r="C47" s="762"/>
      <c r="D47" s="763"/>
      <c r="E47" s="348" t="s">
        <v>65</v>
      </c>
      <c r="F47" s="370"/>
      <c r="G47" s="724" t="s">
        <v>385</v>
      </c>
      <c r="H47" s="725"/>
      <c r="I47" s="725"/>
      <c r="J47" s="725"/>
      <c r="K47" s="726"/>
      <c r="L47" s="370"/>
      <c r="M47" s="724" t="s">
        <v>500</v>
      </c>
      <c r="N47" s="725"/>
      <c r="O47" s="725"/>
      <c r="P47" s="725"/>
      <c r="Q47" s="726"/>
      <c r="R47" s="370"/>
      <c r="S47" s="724" t="s">
        <v>500</v>
      </c>
      <c r="T47" s="725"/>
      <c r="U47" s="725"/>
      <c r="V47" s="725"/>
      <c r="W47" s="726"/>
      <c r="X47" s="370"/>
      <c r="Y47" s="724" t="s">
        <v>500</v>
      </c>
      <c r="Z47" s="725"/>
      <c r="AA47" s="725"/>
      <c r="AB47" s="725"/>
      <c r="AC47" s="726"/>
      <c r="AD47" s="370"/>
      <c r="AE47" s="724" t="s">
        <v>78</v>
      </c>
      <c r="AF47" s="725"/>
      <c r="AG47" s="725"/>
      <c r="AH47" s="725"/>
      <c r="AI47" s="726"/>
      <c r="AJ47" s="370"/>
      <c r="AK47" s="724" t="s">
        <v>78</v>
      </c>
      <c r="AL47" s="725"/>
      <c r="AM47" s="725"/>
      <c r="AN47" s="725"/>
      <c r="AO47" s="726"/>
      <c r="AP47" s="370"/>
      <c r="AQ47" s="724" t="s">
        <v>380</v>
      </c>
      <c r="AR47" s="725"/>
      <c r="AS47" s="725"/>
      <c r="AT47" s="725"/>
      <c r="AU47" s="726"/>
      <c r="AV47" s="730" t="str">
        <f t="shared" si="5"/>
        <v>7 Mass% Bituminous coal and 0.75 Mass% Solar PV and 3 Mass% Natural gas and 3 Mass% Natural gas</v>
      </c>
      <c r="AW47" s="731"/>
      <c r="AX47" s="731"/>
      <c r="AY47" s="732"/>
      <c r="AZ47" s="733"/>
      <c r="BA47" s="730" t="str">
        <f t="shared" si="6"/>
        <v>7 Mass% Bituminous coal and 0.75 Mass% Solar PV and 3 Mass% Natural gas and 3 Mass% Natural gas</v>
      </c>
      <c r="BB47" s="731"/>
      <c r="BC47" s="731"/>
      <c r="BD47" s="732"/>
      <c r="BE47" s="733"/>
      <c r="BF47" s="730" t="str">
        <f t="shared" si="7"/>
        <v>7 Mass% Bituminous coal and 0.75 Mass% Solar PV and 3 Mass% Natural gas and 3 Mass% Natural gas</v>
      </c>
      <c r="BG47" s="731"/>
      <c r="BH47" s="731"/>
      <c r="BI47" s="732"/>
      <c r="BJ47" s="733"/>
      <c r="BK47" s="730" t="str">
        <f t="shared" si="8"/>
        <v>7 Mass% Bituminous coal and 0.75 Mass% Solar PV and 3 Mass% Natural gas and 3 Mass% Natural gas</v>
      </c>
      <c r="BL47" s="731"/>
      <c r="BM47" s="731"/>
      <c r="BN47" s="732"/>
      <c r="BO47" s="733"/>
      <c r="BP47" s="730" t="str">
        <f t="shared" si="9"/>
        <v>4 Mass% Bituminous coal and 11 Mass% Solar PV</v>
      </c>
      <c r="BQ47" s="731"/>
      <c r="BR47" s="731"/>
      <c r="BS47" s="732"/>
      <c r="BT47" s="733"/>
    </row>
    <row r="48" spans="1:72" ht="36" customHeight="1" thickBot="1" x14ac:dyDescent="0.3">
      <c r="A48" s="204"/>
      <c r="B48" s="761"/>
      <c r="C48" s="762"/>
      <c r="D48" s="763"/>
      <c r="E48" s="348" t="s">
        <v>455</v>
      </c>
      <c r="F48" s="370"/>
      <c r="G48" s="724" t="s">
        <v>380</v>
      </c>
      <c r="H48" s="725"/>
      <c r="I48" s="725"/>
      <c r="J48" s="725"/>
      <c r="K48" s="726"/>
      <c r="L48" s="370"/>
      <c r="M48" s="724" t="s">
        <v>380</v>
      </c>
      <c r="N48" s="725"/>
      <c r="O48" s="725"/>
      <c r="P48" s="725"/>
      <c r="Q48" s="726"/>
      <c r="R48" s="370"/>
      <c r="S48" s="724" t="s">
        <v>380</v>
      </c>
      <c r="T48" s="725"/>
      <c r="U48" s="725"/>
      <c r="V48" s="725"/>
      <c r="W48" s="726"/>
      <c r="X48" s="370"/>
      <c r="Y48" s="724" t="s">
        <v>380</v>
      </c>
      <c r="Z48" s="725"/>
      <c r="AA48" s="725"/>
      <c r="AB48" s="725"/>
      <c r="AC48" s="726"/>
      <c r="AD48" s="370"/>
      <c r="AE48" s="724" t="s">
        <v>385</v>
      </c>
      <c r="AF48" s="725"/>
      <c r="AG48" s="725"/>
      <c r="AH48" s="725"/>
      <c r="AI48" s="726"/>
      <c r="AJ48" s="370"/>
      <c r="AK48" s="724" t="s">
        <v>385</v>
      </c>
      <c r="AL48" s="725"/>
      <c r="AM48" s="725"/>
      <c r="AN48" s="725"/>
      <c r="AO48" s="726"/>
      <c r="AP48" s="370"/>
      <c r="AQ48" s="724" t="s">
        <v>380</v>
      </c>
      <c r="AR48" s="725"/>
      <c r="AS48" s="725"/>
      <c r="AT48" s="725"/>
      <c r="AU48" s="726"/>
      <c r="AV48" s="730" t="str">
        <f t="shared" si="5"/>
        <v>7 Mass% N/A and 0.75 Mass% N/A and 3 Mass% Bituminous coal and 3 Mass% Bituminous coal</v>
      </c>
      <c r="AW48" s="731"/>
      <c r="AX48" s="731"/>
      <c r="AY48" s="732"/>
      <c r="AZ48" s="733"/>
      <c r="BA48" s="730" t="str">
        <f t="shared" si="6"/>
        <v>7 Mass% N/A and 0.75 Mass% N/A and 3 Mass% Bituminous coal and 3 Mass% Bituminous coal</v>
      </c>
      <c r="BB48" s="731"/>
      <c r="BC48" s="731"/>
      <c r="BD48" s="732"/>
      <c r="BE48" s="733"/>
      <c r="BF48" s="730" t="str">
        <f t="shared" si="7"/>
        <v>7 Mass% N/A and 0.75 Mass% N/A and 3 Mass% Bituminous coal and 3 Mass% Bituminous coal</v>
      </c>
      <c r="BG48" s="731"/>
      <c r="BH48" s="731"/>
      <c r="BI48" s="732"/>
      <c r="BJ48" s="733"/>
      <c r="BK48" s="730" t="str">
        <f t="shared" si="8"/>
        <v>7 Mass% N/A and 0.75 Mass% N/A and 3 Mass% Bituminous coal and 3 Mass% Bituminous coal</v>
      </c>
      <c r="BL48" s="731"/>
      <c r="BM48" s="731"/>
      <c r="BN48" s="732"/>
      <c r="BO48" s="733"/>
      <c r="BP48" s="730" t="str">
        <f t="shared" si="9"/>
        <v>4 Mass% N/A and 11 Mass% N/A</v>
      </c>
      <c r="BQ48" s="731"/>
      <c r="BR48" s="731"/>
      <c r="BS48" s="732"/>
      <c r="BT48" s="733"/>
    </row>
    <row r="49" spans="1:72" ht="36" customHeight="1" thickBot="1" x14ac:dyDescent="0.3">
      <c r="A49" s="204"/>
      <c r="B49" s="761"/>
      <c r="C49" s="762"/>
      <c r="D49" s="763"/>
      <c r="E49" s="348" t="s">
        <v>55</v>
      </c>
      <c r="F49" s="370"/>
      <c r="G49" s="724" t="s">
        <v>386</v>
      </c>
      <c r="H49" s="725"/>
      <c r="I49" s="725"/>
      <c r="J49" s="725"/>
      <c r="K49" s="726"/>
      <c r="L49" s="370"/>
      <c r="M49" s="724" t="s">
        <v>386</v>
      </c>
      <c r="N49" s="725"/>
      <c r="O49" s="725"/>
      <c r="P49" s="725"/>
      <c r="Q49" s="726"/>
      <c r="R49" s="370"/>
      <c r="S49" s="724" t="s">
        <v>386</v>
      </c>
      <c r="T49" s="725"/>
      <c r="U49" s="725"/>
      <c r="V49" s="725"/>
      <c r="W49" s="726"/>
      <c r="X49" s="370"/>
      <c r="Y49" s="724" t="s">
        <v>386</v>
      </c>
      <c r="Z49" s="725"/>
      <c r="AA49" s="725"/>
      <c r="AB49" s="725"/>
      <c r="AC49" s="726"/>
      <c r="AD49" s="370"/>
      <c r="AE49" s="724" t="s">
        <v>386</v>
      </c>
      <c r="AF49" s="725"/>
      <c r="AG49" s="725"/>
      <c r="AH49" s="725"/>
      <c r="AI49" s="726"/>
      <c r="AJ49" s="370"/>
      <c r="AK49" s="724" t="s">
        <v>386</v>
      </c>
      <c r="AL49" s="725"/>
      <c r="AM49" s="725"/>
      <c r="AN49" s="725"/>
      <c r="AO49" s="726"/>
      <c r="AP49" s="370"/>
      <c r="AQ49" s="724" t="s">
        <v>380</v>
      </c>
      <c r="AR49" s="725"/>
      <c r="AS49" s="725"/>
      <c r="AT49" s="725"/>
      <c r="AU49" s="726"/>
      <c r="AV49" s="730" t="str">
        <f t="shared" si="5"/>
        <v>7 Mass% Electricity and 0.75 Mass% Electricity and 3 Mass% Electricity and 3 Mass% Electricity</v>
      </c>
      <c r="AW49" s="731"/>
      <c r="AX49" s="731"/>
      <c r="AY49" s="732"/>
      <c r="AZ49" s="733"/>
      <c r="BA49" s="730" t="str">
        <f t="shared" si="6"/>
        <v>7 Mass% Electricity and 0.75 Mass% Electricity and 3 Mass% Electricity and 3 Mass% Electricity</v>
      </c>
      <c r="BB49" s="731"/>
      <c r="BC49" s="731"/>
      <c r="BD49" s="732"/>
      <c r="BE49" s="733"/>
      <c r="BF49" s="730" t="str">
        <f t="shared" si="7"/>
        <v>7 Mass% Electricity and 0.75 Mass% Electricity and 3 Mass% Electricity and 3 Mass% Electricity</v>
      </c>
      <c r="BG49" s="731"/>
      <c r="BH49" s="731"/>
      <c r="BI49" s="732"/>
      <c r="BJ49" s="733"/>
      <c r="BK49" s="730" t="str">
        <f t="shared" si="8"/>
        <v>7 Mass% Electricity and 0.75 Mass% Electricity and 3 Mass% Electricity and 3 Mass% Electricity</v>
      </c>
      <c r="BL49" s="731"/>
      <c r="BM49" s="731"/>
      <c r="BN49" s="732"/>
      <c r="BO49" s="733"/>
      <c r="BP49" s="730" t="str">
        <f t="shared" si="9"/>
        <v>4 Mass% Electricity and 11 Mass% Electricity</v>
      </c>
      <c r="BQ49" s="731"/>
      <c r="BR49" s="731"/>
      <c r="BS49" s="732"/>
      <c r="BT49" s="733"/>
    </row>
    <row r="50" spans="1:72" ht="36" customHeight="1" thickBot="1" x14ac:dyDescent="0.3">
      <c r="A50" s="204"/>
      <c r="B50" s="764"/>
      <c r="C50" s="765"/>
      <c r="D50" s="766"/>
      <c r="E50" s="349" t="s">
        <v>44</v>
      </c>
      <c r="F50" s="371"/>
      <c r="G50" s="727" t="s">
        <v>401</v>
      </c>
      <c r="H50" s="728"/>
      <c r="I50" s="728"/>
      <c r="J50" s="728"/>
      <c r="K50" s="729"/>
      <c r="L50" s="371"/>
      <c r="M50" s="727" t="s">
        <v>401</v>
      </c>
      <c r="N50" s="728"/>
      <c r="O50" s="728"/>
      <c r="P50" s="728"/>
      <c r="Q50" s="729"/>
      <c r="R50" s="371"/>
      <c r="S50" s="727" t="s">
        <v>401</v>
      </c>
      <c r="T50" s="728"/>
      <c r="U50" s="728"/>
      <c r="V50" s="728"/>
      <c r="W50" s="729"/>
      <c r="X50" s="371"/>
      <c r="Y50" s="727" t="s">
        <v>401</v>
      </c>
      <c r="Z50" s="728"/>
      <c r="AA50" s="728"/>
      <c r="AB50" s="728"/>
      <c r="AC50" s="729"/>
      <c r="AD50" s="371"/>
      <c r="AE50" s="727" t="s">
        <v>401</v>
      </c>
      <c r="AF50" s="728"/>
      <c r="AG50" s="728"/>
      <c r="AH50" s="728"/>
      <c r="AI50" s="729"/>
      <c r="AJ50" s="371"/>
      <c r="AK50" s="727" t="s">
        <v>401</v>
      </c>
      <c r="AL50" s="728"/>
      <c r="AM50" s="728"/>
      <c r="AN50" s="728"/>
      <c r="AO50" s="729"/>
      <c r="AP50" s="371"/>
      <c r="AQ50" s="727" t="s">
        <v>380</v>
      </c>
      <c r="AR50" s="728"/>
      <c r="AS50" s="728"/>
      <c r="AT50" s="728"/>
      <c r="AU50" s="729"/>
      <c r="AV50" s="730" t="str">
        <f t="shared" si="5"/>
        <v>7 Mass% Machine and vehicle diesel and 0.75 Mass% Machine and vehicle diesel and 3 Mass% Machine and vehicle diesel and 3 Mass% Machine and vehicle diesel</v>
      </c>
      <c r="AW50" s="731"/>
      <c r="AX50" s="731"/>
      <c r="AY50" s="732"/>
      <c r="AZ50" s="733"/>
      <c r="BA50" s="730" t="str">
        <f t="shared" si="6"/>
        <v>7 Mass% Machine and vehicle diesel and 0.75 Mass% Machine and vehicle diesel and 3 Mass% Machine and vehicle diesel and 3 Mass% Machine and vehicle diesel</v>
      </c>
      <c r="BB50" s="731"/>
      <c r="BC50" s="731"/>
      <c r="BD50" s="732"/>
      <c r="BE50" s="733"/>
      <c r="BF50" s="730" t="str">
        <f t="shared" si="7"/>
        <v>7 Mass% Machine and vehicle diesel and 0.75 Mass% Machine and vehicle diesel and 3 Mass% Machine and vehicle diesel and 3 Mass% Machine and vehicle diesel</v>
      </c>
      <c r="BG50" s="731"/>
      <c r="BH50" s="731"/>
      <c r="BI50" s="732"/>
      <c r="BJ50" s="733"/>
      <c r="BK50" s="730" t="str">
        <f t="shared" si="8"/>
        <v>7 Mass% Machine and vehicle diesel and 0.75 Mass% Machine and vehicle diesel and 3 Mass% Machine and vehicle diesel and 3 Mass% Machine and vehicle diesel</v>
      </c>
      <c r="BL50" s="731"/>
      <c r="BM50" s="731"/>
      <c r="BN50" s="732"/>
      <c r="BO50" s="733"/>
      <c r="BP50" s="730" t="str">
        <f t="shared" si="9"/>
        <v>4 Mass% Machine and vehicle diesel and 11 Mass% Machine and vehicle diesel</v>
      </c>
      <c r="BQ50" s="731"/>
      <c r="BR50" s="731"/>
      <c r="BS50" s="732"/>
      <c r="BT50" s="733"/>
    </row>
    <row r="51" spans="1:72" ht="18.75" thickBot="1" x14ac:dyDescent="0.3">
      <c r="B51" s="666"/>
      <c r="C51" s="666"/>
      <c r="D51" s="666"/>
      <c r="E51" s="30"/>
      <c r="F51" s="372"/>
      <c r="G51" s="171"/>
      <c r="H51" s="171"/>
      <c r="I51" s="171"/>
      <c r="J51" s="171"/>
      <c r="K51" s="171"/>
      <c r="L51" s="390"/>
      <c r="M51" s="172"/>
      <c r="N51" s="286"/>
      <c r="O51" s="286"/>
      <c r="P51" s="172"/>
      <c r="Q51" s="172"/>
      <c r="R51" s="390"/>
      <c r="S51" s="172"/>
      <c r="T51" s="172"/>
      <c r="U51" s="172"/>
      <c r="V51" s="172"/>
      <c r="W51" s="172"/>
      <c r="X51" s="390"/>
      <c r="Y51" s="172"/>
      <c r="Z51" s="172"/>
      <c r="AA51" s="172"/>
      <c r="AB51" s="172"/>
      <c r="AC51" s="172"/>
      <c r="AD51" s="390"/>
      <c r="AE51" s="172"/>
      <c r="AF51" s="172"/>
      <c r="AG51" s="172"/>
      <c r="AH51" s="172"/>
      <c r="AI51" s="172"/>
      <c r="AJ51" s="390"/>
      <c r="AK51" s="172"/>
      <c r="AL51" s="172"/>
      <c r="AM51" s="172"/>
      <c r="AN51" s="172"/>
      <c r="AO51" s="172"/>
      <c r="AP51" s="390"/>
      <c r="AQ51" s="265"/>
      <c r="AR51" s="265"/>
      <c r="AS51" s="303"/>
      <c r="AT51" s="265"/>
      <c r="AU51" s="265"/>
      <c r="AV51" s="160"/>
      <c r="AW51" s="160"/>
      <c r="AX51" s="303"/>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row>
    <row r="52" spans="1:72" s="202" customFormat="1" ht="24" customHeight="1" thickBot="1" x14ac:dyDescent="0.3">
      <c r="A52" s="11"/>
      <c r="B52" s="667"/>
      <c r="C52" s="667"/>
      <c r="D52" s="667"/>
      <c r="E52" s="11"/>
      <c r="F52" s="358"/>
      <c r="G52" s="258"/>
      <c r="H52" s="259"/>
      <c r="I52" s="259"/>
      <c r="J52" s="260"/>
      <c r="K52" s="260"/>
      <c r="L52" s="391"/>
      <c r="M52" s="260"/>
      <c r="N52" s="287"/>
      <c r="O52" s="287"/>
      <c r="P52" s="260"/>
      <c r="Q52" s="260"/>
      <c r="R52" s="391"/>
      <c r="S52" s="260"/>
      <c r="T52" s="260"/>
      <c r="U52" s="260"/>
      <c r="V52" s="260"/>
      <c r="W52" s="260"/>
      <c r="X52" s="391"/>
      <c r="Y52" s="260"/>
      <c r="Z52" s="260"/>
      <c r="AA52" s="260"/>
      <c r="AB52" s="260"/>
      <c r="AC52" s="260"/>
      <c r="AD52" s="391"/>
      <c r="AE52" s="260"/>
      <c r="AF52" s="260"/>
      <c r="AG52" s="260"/>
      <c r="AH52" s="260"/>
      <c r="AI52" s="260"/>
      <c r="AJ52" s="391"/>
      <c r="AK52" s="260"/>
      <c r="AL52" s="260"/>
      <c r="AM52" s="260"/>
      <c r="AN52" s="261" t="s">
        <v>204</v>
      </c>
      <c r="AO52" s="260"/>
      <c r="AP52" s="391"/>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2"/>
      <c r="BP52" s="260"/>
      <c r="BQ52" s="260"/>
      <c r="BR52" s="260"/>
      <c r="BS52" s="260"/>
      <c r="BT52" s="262"/>
    </row>
    <row r="53" spans="1:72" s="27" customFormat="1" ht="90" customHeight="1" thickBot="1" x14ac:dyDescent="0.3">
      <c r="A53" s="203"/>
      <c r="B53" s="668"/>
      <c r="C53" s="668"/>
      <c r="D53" s="668"/>
      <c r="E53" s="200"/>
      <c r="F53" s="394" t="s">
        <v>443</v>
      </c>
      <c r="G53" s="257" t="s">
        <v>325</v>
      </c>
      <c r="H53" s="180" t="s">
        <v>423</v>
      </c>
      <c r="I53" s="180" t="s">
        <v>448</v>
      </c>
      <c r="J53" s="181" t="s">
        <v>326</v>
      </c>
      <c r="K53" s="201" t="s">
        <v>323</v>
      </c>
      <c r="L53" s="394" t="s">
        <v>443</v>
      </c>
      <c r="M53" s="179" t="s">
        <v>325</v>
      </c>
      <c r="N53" s="180" t="s">
        <v>423</v>
      </c>
      <c r="O53" s="180" t="s">
        <v>448</v>
      </c>
      <c r="P53" s="181" t="s">
        <v>326</v>
      </c>
      <c r="Q53" s="201" t="s">
        <v>323</v>
      </c>
      <c r="R53" s="394" t="s">
        <v>443</v>
      </c>
      <c r="S53" s="179" t="s">
        <v>325</v>
      </c>
      <c r="T53" s="180" t="s">
        <v>324</v>
      </c>
      <c r="U53" s="180" t="s">
        <v>448</v>
      </c>
      <c r="V53" s="181" t="s">
        <v>326</v>
      </c>
      <c r="W53" s="201" t="s">
        <v>323</v>
      </c>
      <c r="X53" s="394" t="s">
        <v>443</v>
      </c>
      <c r="Y53" s="179" t="s">
        <v>325</v>
      </c>
      <c r="Z53" s="180" t="s">
        <v>324</v>
      </c>
      <c r="AA53" s="180" t="s">
        <v>448</v>
      </c>
      <c r="AB53" s="181" t="s">
        <v>326</v>
      </c>
      <c r="AC53" s="201" t="s">
        <v>323</v>
      </c>
      <c r="AD53" s="394" t="s">
        <v>443</v>
      </c>
      <c r="AE53" s="179" t="s">
        <v>325</v>
      </c>
      <c r="AF53" s="180" t="s">
        <v>324</v>
      </c>
      <c r="AG53" s="180" t="s">
        <v>448</v>
      </c>
      <c r="AH53" s="181" t="s">
        <v>326</v>
      </c>
      <c r="AI53" s="201" t="s">
        <v>323</v>
      </c>
      <c r="AJ53" s="394" t="s">
        <v>443</v>
      </c>
      <c r="AK53" s="179" t="s">
        <v>325</v>
      </c>
      <c r="AL53" s="180" t="s">
        <v>324</v>
      </c>
      <c r="AM53" s="180" t="s">
        <v>448</v>
      </c>
      <c r="AN53" s="181" t="s">
        <v>326</v>
      </c>
      <c r="AO53" s="201" t="s">
        <v>323</v>
      </c>
      <c r="AP53" s="394" t="s">
        <v>443</v>
      </c>
      <c r="AQ53" s="179" t="s">
        <v>325</v>
      </c>
      <c r="AR53" s="180" t="s">
        <v>423</v>
      </c>
      <c r="AS53" s="180" t="s">
        <v>448</v>
      </c>
      <c r="AT53" s="181" t="s">
        <v>326</v>
      </c>
      <c r="AU53" s="201" t="s">
        <v>323</v>
      </c>
      <c r="AV53" s="441" t="s">
        <v>325</v>
      </c>
      <c r="AW53" s="180" t="s">
        <v>423</v>
      </c>
      <c r="AX53" s="180" t="s">
        <v>448</v>
      </c>
      <c r="AY53" s="181" t="s">
        <v>326</v>
      </c>
      <c r="AZ53" s="201" t="s">
        <v>323</v>
      </c>
      <c r="BA53" s="179" t="s">
        <v>325</v>
      </c>
      <c r="BB53" s="180" t="s">
        <v>423</v>
      </c>
      <c r="BC53" s="180" t="s">
        <v>448</v>
      </c>
      <c r="BD53" s="181" t="s">
        <v>326</v>
      </c>
      <c r="BE53" s="201" t="s">
        <v>323</v>
      </c>
      <c r="BF53" s="179" t="s">
        <v>325</v>
      </c>
      <c r="BG53" s="180" t="s">
        <v>423</v>
      </c>
      <c r="BH53" s="180" t="s">
        <v>448</v>
      </c>
      <c r="BI53" s="181" t="s">
        <v>326</v>
      </c>
      <c r="BJ53" s="201" t="s">
        <v>323</v>
      </c>
      <c r="BK53" s="179" t="s">
        <v>325</v>
      </c>
      <c r="BL53" s="180" t="s">
        <v>423</v>
      </c>
      <c r="BM53" s="180" t="s">
        <v>448</v>
      </c>
      <c r="BN53" s="181" t="s">
        <v>326</v>
      </c>
      <c r="BO53" s="201" t="s">
        <v>323</v>
      </c>
      <c r="BP53" s="179" t="s">
        <v>325</v>
      </c>
      <c r="BQ53" s="180" t="s">
        <v>423</v>
      </c>
      <c r="BR53" s="180" t="s">
        <v>448</v>
      </c>
      <c r="BS53" s="181" t="s">
        <v>326</v>
      </c>
      <c r="BT53" s="201" t="s">
        <v>323</v>
      </c>
    </row>
    <row r="54" spans="1:72" s="27" customFormat="1" ht="18" customHeight="1" x14ac:dyDescent="0.25">
      <c r="A54" s="204"/>
      <c r="B54" s="745" t="s">
        <v>194</v>
      </c>
      <c r="C54" s="716"/>
      <c r="D54" s="717"/>
      <c r="E54" s="211" t="s">
        <v>9</v>
      </c>
      <c r="F54" s="373" t="s">
        <v>440</v>
      </c>
      <c r="G54" s="503">
        <f>IF(F54="y",'P C Data'!$D22,0)</f>
        <v>44.42</v>
      </c>
      <c r="H54" s="504">
        <f>G54/'P C Data'!$M$68</f>
        <v>71.072000000000003</v>
      </c>
      <c r="I54" s="504">
        <f>G54*VLOOKUP(VLOOKUP($E54,$E$41:$AU$50,3,FALSE),'Energy Cost &amp; Emissions'!$B$8:$L$29,5,FALSE)</f>
        <v>1.7323799999999999E-3</v>
      </c>
      <c r="J54" s="504">
        <f>G54*VLOOKUP(VLOOKUP($E54,$E$41:$AU$50,3,FALSE),'Energy Cost &amp; Emissions'!$B$8:$L$29,10,FALSE)</f>
        <v>3.0738640000000004E-3</v>
      </c>
      <c r="K54" s="505">
        <f>J54/'P C Data'!$M$68</f>
        <v>4.9181824000000002E-3</v>
      </c>
      <c r="L54" s="506" t="s">
        <v>435</v>
      </c>
      <c r="M54" s="507">
        <f>IF(L54="Y",'P C Data'!$D22,0)</f>
        <v>0</v>
      </c>
      <c r="N54" s="508">
        <f>M54/'Syncarb to rMgO Data'!$H$27</f>
        <v>0</v>
      </c>
      <c r="O54" s="508">
        <f>M54*VLOOKUP(VLOOKUP($E54,$E$41:$AU$50,9,FALSE),'Energy Cost &amp; Emissions'!$B$8:$L$29,5,FALSE)</f>
        <v>0</v>
      </c>
      <c r="P54" s="508">
        <f>M54*VLOOKUP(VLOOKUP($E54,$E$41:$AU$50,9,FALSE),'Energy Cost &amp; Emissions'!$B$8:$L$29,10,FALSE)</f>
        <v>0</v>
      </c>
      <c r="Q54" s="509">
        <f>P54/'Syncarb to rMgO Data'!$H$27</f>
        <v>0</v>
      </c>
      <c r="R54" s="506" t="s">
        <v>440</v>
      </c>
      <c r="S54" s="507">
        <f>IF(R54="Y",'P C Data'!$D22,0)</f>
        <v>44.42</v>
      </c>
      <c r="T54" s="508">
        <f>S54/'Syncarb to rMgO Data'!$H$27</f>
        <v>159.91200000000001</v>
      </c>
      <c r="U54" s="508">
        <f>S54*VLOOKUP(VLOOKUP($E54,$E$41:$AU$50,15,FALSE),'Energy Cost &amp; Emissions'!$B$8:$L$29,5,FALSE)</f>
        <v>1.7323799999999999E-3</v>
      </c>
      <c r="V54" s="508">
        <f>S54*VLOOKUP(VLOOKUP($E54,$E$41:$AU$50,15,FALSE),'Energy Cost &amp; Emissions'!$B$8:$L$29,10,FALSE)</f>
        <v>3.0738640000000004E-3</v>
      </c>
      <c r="W54" s="509">
        <f>V54/'Syncarb to rMgO Data'!$H$27</f>
        <v>1.10659104E-2</v>
      </c>
      <c r="X54" s="506" t="s">
        <v>440</v>
      </c>
      <c r="Y54" s="507">
        <f>IF(X54="Y",'P C Data'!$D22,0)</f>
        <v>44.42</v>
      </c>
      <c r="Z54" s="508">
        <f>Y54/'Lime Energy &amp; CO2 Data'!$H$27</f>
        <v>148.36280000000002</v>
      </c>
      <c r="AA54" s="508">
        <f>Y54*VLOOKUP(VLOOKUP($E54,$E$41:$AU$50,21,FALSE),'Energy Cost &amp; Emissions'!$B$8:$L$29,5,FALSE)</f>
        <v>1.7323799999999999E-3</v>
      </c>
      <c r="AB54" s="508">
        <f>Y54*VLOOKUP(VLOOKUP($E54,$E$41:$AU$50,21,FALSE),'Energy Cost &amp; Emissions'!$B$8:$L$29,10,FALSE)</f>
        <v>3.0738640000000004E-3</v>
      </c>
      <c r="AC54" s="509">
        <f>AB54/'Lime Energy &amp; CO2 Data'!$H$27</f>
        <v>1.0266705760000001E-2</v>
      </c>
      <c r="AD54" s="506" t="s">
        <v>435</v>
      </c>
      <c r="AE54" s="503">
        <f>IF($AD54="y",'SCM Data'!$C8,0)</f>
        <v>0</v>
      </c>
      <c r="AF54" s="504">
        <f>IF($AD54="Y",'SCM Data'!$D8,0)</f>
        <v>0</v>
      </c>
      <c r="AG54" s="504">
        <f>AE54*VLOOKUP(VLOOKUP($E54,$E$41:$AU$50,27,FALSE),'Energy Cost &amp; Emissions'!$B$8:$L$29,5,FALSE)</f>
        <v>0</v>
      </c>
      <c r="AH54" s="504">
        <f>AE54*VLOOKUP(VLOOKUP($E54,$E$41:$AU$50,27,FALSE),'Energy Cost &amp; Emissions'!$B$8:$L$29,10,FALSE)</f>
        <v>0</v>
      </c>
      <c r="AI54" s="505">
        <f>AH54*'SCM Data'!$C$22</f>
        <v>0</v>
      </c>
      <c r="AJ54" s="506" t="s">
        <v>440</v>
      </c>
      <c r="AK54" s="503">
        <f>IF($AD54="y",'SCM Data'!$C8,0)</f>
        <v>0</v>
      </c>
      <c r="AL54" s="504">
        <f>IF($AD54="Y",'SCM Data'!$E8,0)</f>
        <v>0</v>
      </c>
      <c r="AM54" s="504">
        <f>AK54*VLOOKUP(VLOOKUP($E54,$E$41:$AU$50,33,FALSE),'Energy Cost &amp; Emissions'!$B$8:$L$29,5,FALSE)</f>
        <v>0</v>
      </c>
      <c r="AN54" s="504">
        <f>AK54*VLOOKUP(VLOOKUP($E54,$E$41:$AU$50,33,FALSE),'Energy Cost &amp; Emissions'!$B$8:$L$29,10,FALSE)</f>
        <v>0</v>
      </c>
      <c r="AO54" s="505">
        <f>AN54*'SCM Data'!$C$23</f>
        <v>0</v>
      </c>
      <c r="AP54" s="506" t="s">
        <v>435</v>
      </c>
      <c r="AQ54" s="507">
        <f>IF(AP54="Y",'P C Data'!$D22,0)</f>
        <v>0</v>
      </c>
      <c r="AR54" s="508">
        <f>AQ54/'Syncarb to rMgO Data'!$H$27</f>
        <v>0</v>
      </c>
      <c r="AS54" s="508">
        <f>AQ54*VLOOKUP(VLOOKUP($E54,$E$41:$AU$50,39,FALSE),'Energy Cost &amp; Emissions'!$B$8:$L$29,5,FALSE)</f>
        <v>0</v>
      </c>
      <c r="AT54" s="508">
        <f>AQ54*VLOOKUP(VLOOKUP($E54,$E$41:$AU$50,39,FALSE),'Energy Cost &amp; Emissions'!$B$8:$L$29,10,FALSE)</f>
        <v>0</v>
      </c>
      <c r="AU54" s="509">
        <f>AT54/'Syncarb to rMgO Data'!$H$27</f>
        <v>0</v>
      </c>
      <c r="AV54" s="510">
        <f>(IF($AV$7&gt;0,$AV$7*$G54,0)+IF($AV$8&gt;0,$AV$8*$M54,0)+IF($AV$9&gt;0,$AV$9*$S54,0)+IF($AV$10&gt;0,$AV$10*$Y54,0)+IF($AV$11&gt;0,$AV$11*$AE54,0)+IF($AV$12&gt;0,$AV$12*$AK54,0)+IF($AV$19&gt;0,$AV$19*$AQ54,0))/100</f>
        <v>3.1093999999999999</v>
      </c>
      <c r="AW54" s="511">
        <f>(IF($AV$7&gt;0,$AV$7*$H54,0)+IF($AV$8&gt;0,$AV$8*$N54,0)+IF($AV$9&gt;0,$AV$9*$T54,0)+IF($AV$10&gt;0,$AV$10*$Z54,0)+IF($AV$11&gt;0,$AV$11*$AF54,0)+IF($AV$12&gt;0,$AV$12*$AL54,0)+IF($AV$19&gt;0,$AV$19*$AR54,0))/100</f>
        <v>4.9750399999999999</v>
      </c>
      <c r="AX54" s="511">
        <f>(IF($AV$7&gt;0,$AV$7*$I54,0)+IF($AV$8&gt;0,$AV$8*$O54,0)+IF($AV$9&gt;0,$AV$9*$U54,0)+IF($AV$10&gt;0,$AV$10*$AA54,0)+IF($AV$11&gt;0,$AV$11*$AG54,0)+IF($AV$12&gt;0,$AV$12*$AM54,0)+IF($AV$19&gt;0,$AV$19*$AS54,0))/100</f>
        <v>1.2126659999999999E-4</v>
      </c>
      <c r="AY54" s="511">
        <f>(IF($AV$7&gt;0,$AV$7*$J54,0)+IF($AV$8&gt;0,$AV$8*$P54,0)+IF($AV$9&gt;0,$AV$9*$V54,0)+IF($AV$10&gt;0,$AV$10*$AB54,0)+IF($AV$11&gt;0,$AV$11*$AH54,0)+IF($AV$12&gt;0,$AV$12*$AN54,0)+IF($AV$19&gt;0,$AV$19*$AT54,0))/100</f>
        <v>2.1517048000000005E-4</v>
      </c>
      <c r="AZ54" s="512">
        <f>(IF($AV$7&gt;0,$AV$7*$K54,0)+IF($AV$8&gt;0,$AV$8*$Q54,0)+IF($AV$9&gt;0,$AV$9*$W54,0)+IF($AV$10&gt;0,$AV$10*$AC54,0)+IF($AV$11&gt;0,$AV$11*$AI54,0)+IF($AV$12&gt;0,$AV$12*$AO54,0)+IF($AV$19&gt;0,$AV$19*$AU54,0))/100</f>
        <v>3.4427276800000003E-4</v>
      </c>
      <c r="BA54" s="510">
        <f>(IF($BA$7&gt;0,$BA$7*$G54,0)+IF($BA$8&gt;0,$BA$8*$M54,0)+IF($BA$9&gt;0,$BA$9*$S54,0)+IF($BA$10&gt;0,$BA$10*$Y54,0)+IF($BA$11&gt;0,$BA$11*$AE54,0)+IF($BA$12&gt;0,$BA$12*$AK54,0)+IF($BA$19&gt;0,$BA$19*$AQ54,0))/100</f>
        <v>1.7768000000000002</v>
      </c>
      <c r="BB54" s="508">
        <f>(IF($BA$7&gt;0,$BA$7*$H54,0)+IF($BA$8&gt;0,$BA$8*$N54,0)+IF($BA$9&gt;0,$BA$9*$T54,0)+IF($BA$10&gt;0,$BA$10*$Z54,0)+IF($BA$11&gt;0,$BA$11*$AF54,0)+IF($BA$12&gt;0,$BA$12*$AL54,0)+IF($BA$19&gt;0,$BA$19*$AR54,0))/100</f>
        <v>2.8428800000000001</v>
      </c>
      <c r="BC54" s="508">
        <f>(IF($BA$7&gt;0,$BA$7*$I54,0)+IF($BA$8&gt;0,$BA$8*$O54,0)+IF($BA$9&gt;0,$BA$9*$U54,0)+IF($BA$10&gt;0,$BA$10*$AA54,0)+IF($BA$11&gt;0,$BA$11*$AG54,0)+IF($BA$12&gt;0,$BA$12*$AM54,0)+IF($BA$19&gt;0,$BA$19*$AS54,0))/100</f>
        <v>6.9295199999999993E-5</v>
      </c>
      <c r="BD54" s="508">
        <f>(IF($BA$7&gt;0,$BA$7*$J54,0)+IF($BA$8&gt;0,$BA$8*$P54,0)+IF($BA$9&gt;0,$BA$9*$V54,0)+IF($BA$10&gt;0,$BA$10*$AB54,0)+IF($BA$11&gt;0,$BA$11*$AH54,0)+IF($BA$12&gt;0,$BA$12*$AN54,0)+IF($BA$19&gt;0,$BA$19*$AT54,0))/100</f>
        <v>1.2295456000000003E-4</v>
      </c>
      <c r="BE54" s="509">
        <f>(IF($BA$7&gt;0,$BA$7*$K54,0)+IF($BA$8&gt;0,$BA$8*$Q54,0)+IF($BA$9&gt;0,$BA$9*$W54,0)+IF($BA$10&gt;0,$BA$10*$AC54,0)+IF($BA$11&gt;0,$BA$11*$AI54,0)+IF($BA$12&gt;0,$BA$12*$AO54,0)+IF($BA$19&gt;0,$BA$19*$AU54,0))/100</f>
        <v>1.9672729600000001E-4</v>
      </c>
      <c r="BF54" s="510">
        <f>(IF($BF$7&gt;0,$BF$7*$G54,0)+IF($BF$8&gt;0,$BF$8*$M54,0)+IF($BF$9&gt;0,$BF$9*$S54,0)+IF($BF$10&gt;0,$BF$10*$Y54,0)+IF($BF$11&gt;0,$BF$11*$AE54,0)+IF($BF$12&gt;0,$BF$12*$AK54,0)+IF($BF$19&gt;0,$BF$19*$AQ54,0))/100</f>
        <v>6.6630000000000003</v>
      </c>
      <c r="BG54" s="508">
        <f>(IF($BF$7&gt;0,$BF$7*$H54,0)+IF($BF$8&gt;0,$BF$8*$N54,0)+IF($BF$9&gt;0,$BF$9*$T54,0)+IF($BF$10&gt;0,$BF$10*$Z54,0)+IF($BF$11&gt;0,$BF$11*$AF54,0)+IF($BF$12&gt;0,$BF$12*$AL54,0)+IF($BF$19&gt;0,$BF$19*$AR54,0))/100</f>
        <v>22.254420000000003</v>
      </c>
      <c r="BH54" s="508">
        <f>(IF($BF$7&gt;0,$BF$7*$I54,0)+IF($BF$8&gt;0,$BF$8*$O54,0)+IF($BF$9&gt;0,$BF$9*$U54,0)+IF($BF$10&gt;0,$BF$10*$AA54,0)+IF($BF$11&gt;0,$BF$11*$AG54,0)+IF($BF$12&gt;0,$BF$12*$AM54,0)+IF($BF$19&gt;0,$BF$19*$AS54,0))/100</f>
        <v>2.59857E-4</v>
      </c>
      <c r="BI54" s="508">
        <f>(IF($BF$7&gt;0,$BF$7*$J54,0)+IF($BF$8&gt;0,$BF$8*$P54,0)+IF($BF$9&gt;0,$BF$9*$V54,0)+IF($BF$10&gt;0,$BF$10*$AB54,0)+IF($BF$11&gt;0,$BF$11*$AH54,0)+IF($BF$12&gt;0,$BF$12*$AN54,0)+IF($BF$19&gt;0,$BF$19*$AT54,0))/100</f>
        <v>4.6107960000000002E-4</v>
      </c>
      <c r="BJ54" s="509">
        <f>(IF($BF$7&gt;0,$BF$7*$K54,0)+IF($BF$8&gt;0,$BF$8*$Q54,0)+IF($BF$9&gt;0,$BF$9*$W54,0)+IF($BF$10&gt;0,$BF$10*$AC54,0)+IF($BF$11&gt;0,$BF$11*$AI54,0)+IF($BF$12&gt;0,$BF$12*$AO54,0)+IF($BF$19&gt;0,$BF$19*$AU54,0))/100</f>
        <v>1.5400058640000003E-3</v>
      </c>
      <c r="BK54" s="510">
        <f>(IF($BK$7&gt;0,$BK$7*$G54,0)+IF($BK$8&gt;0,$BK$8*$M54,0)+IF($BK$9&gt;0,$BK$9*$S54,0)+IF($BK$10&gt;0,$BK$10*$Y54,0)+IF($BK$11&gt;0,$BK$11*$AE54,0)+IF($BK$12&gt;0,$BK$12*$AK54,0)+IF($BK$19&gt;0,$BK$19*$AQ54,0))/100</f>
        <v>1.7768000000000002</v>
      </c>
      <c r="BL54" s="508">
        <f>(IF($BK$7&gt;0,$BK$7*$H54,0)+IF($BK$8&gt;0,$BK$8*$N54,0)+IF($BK$9&gt;0,$BK$9*$T54,0)+IF($BK$10&gt;0,$BK$10*$Z54,0)+IF($BK$11&gt;0,$BK$11*$AF54,0)+IF($BK$12&gt;0,$BK$12*$AL54,0)+IF($BK$19&gt;0,$BK$19*$AR54,0))/100</f>
        <v>2.8428800000000001</v>
      </c>
      <c r="BM54" s="508">
        <f>(IF($BK$7&gt;0,$BK$7*$I54,0)+IF($BK$8&gt;0,$BK$8*$O54,0)+IF($BK$9&gt;0,$BK$9*$U54,0)+IF($BK$10&gt;0,$BK$10*$AA54,0)+IF($BK$11&gt;0,$BK$11*$AG54,0)+IF($BK$12&gt;0,$BK$12*$AM54,0)+IF($BK$19&gt;0,$BK$19*$AS54,0))/100</f>
        <v>6.9295199999999993E-5</v>
      </c>
      <c r="BN54" s="508">
        <f>(IF($BK$7&gt;0,$BK$7*$J54,0)+IF($BK$8&gt;0,$BK$8*$P54,0)+IF($BK$9&gt;0,$BK$9*$V54,0)+IF($BK$10&gt;0,$BK$10*$AB54,0)+IF($BK$11&gt;0,$BK$11*$AH54,0)+IF($BK$12&gt;0,$BK$12*$AN54,0)+IF($BK$19&gt;0,$BK$19*$AT54,0))/100</f>
        <v>1.2295456000000003E-4</v>
      </c>
      <c r="BO54" s="509">
        <f>(IF($BK$7&gt;0,$BK$7*$K54,0)+IF($BK$8&gt;0,$BK$8*$Q54,0)+IF($BK$9&gt;0,$BK$9*$W54,0)+IF($BK$10&gt;0,$BK$10*$AC54,0)+IF($BK$11&gt;0,$BK$11*$AI54,0)+IF($BK$12&gt;0,$BK$12*$AO54,0)+IF($BK$19&gt;0,$BK$19*$AU54,0))/100</f>
        <v>1.9672729600000001E-4</v>
      </c>
      <c r="BP54" s="507">
        <f>(IF($BP$7&gt;0,$BP$7*$G54,0)+IF($BP$8&gt;0,$BP$8*$M54,0)+IF($BP$9&gt;0,$BP$9*$S54,0)+IF($BP$10&gt;0,$BP$10*$Y54,0)+IF($BP$11&gt;0,$BP$11*$AE54,0)+IF($BP$12&gt;0,$BP$12*$AK54,0)+IF($BP$19&gt;0,$BP$19*$AQ54,0))/100</f>
        <v>1.7768000000000002</v>
      </c>
      <c r="BQ54" s="508">
        <f>(IF($BP$7&gt;0,$BP$7*$H54,0)+IF($BP$8&gt;0,$BP$8*$N54,0)+IF($BP$9&gt;0,$BP$9*$T54,0)+IF($BP$10&gt;0,$BP$10*$Z54,0)+IF($BP$11&gt;0,$BP$11*$AF54,0)+IF($BP$12&gt;0,$BP$12*$AL54,0)+IF($BP$19&gt;0,$BP$19*$AR54,0))/100</f>
        <v>2.8428800000000001</v>
      </c>
      <c r="BR54" s="508">
        <f>(IF($BP$7&gt;0,$BP$7*$I54,0)+IF($BP$8&gt;0,$BP$8*$O54,0)+IF($BP$9&gt;0,$BP$9*$U54,0)+IF($BP$10&gt;0,$BP$10*$AA54,0)+IF($BP$11&gt;0,$BP$11*$AG54,0)+IF($BP$12&gt;0,$BP$12*$AM54,0)+IF($BP$19&gt;0,$BP$19*$AS54,0))/100</f>
        <v>6.9295199999999993E-5</v>
      </c>
      <c r="BS54" s="508">
        <f>(IF($BP$7&gt;0,$BP$7*$J54,0)+IF($BP$8&gt;0,$BP$8*$P54,0)+IF($BP$9&gt;0,$BP$9*$V54,0)+IF($BP$10&gt;0,$BP$10*$AB54,0)+IF($BP$11&gt;0,$BP$11*$AH54,0)+IF($BP$12&gt;0,$BP$12*$AN54,0)+IF($BP$19&gt;0,$BP$19*$AT54,0))/100</f>
        <v>1.2295456000000003E-4</v>
      </c>
      <c r="BT54" s="509">
        <f>(IF($BP$7&gt;0,$BP$7*$K54,0)+IF($BP$8&gt;0,$BP$8*$Q54,0)+IF($BP$9&gt;0,$BP$9*$W54,0)+IF($BP$10&gt;0,$BP$10*$AC54,0)+IF($BP$11&gt;0,$BP$11*$AI54,0)+IF($BP$12&gt;0,$BP$12*$AO54,0)+IF($BP$19&gt;0,$BP$19*$AU54,0))/100</f>
        <v>1.9672729600000001E-4</v>
      </c>
    </row>
    <row r="55" spans="1:72" s="27" customFormat="1" ht="18" customHeight="1" x14ac:dyDescent="0.25">
      <c r="A55" s="204"/>
      <c r="B55" s="721"/>
      <c r="C55" s="722"/>
      <c r="D55" s="723"/>
      <c r="E55" s="185" t="s">
        <v>18</v>
      </c>
      <c r="F55" s="374" t="s">
        <v>440</v>
      </c>
      <c r="G55" s="503">
        <f>IF(F55="Y",'P C Data'!$D23,0)</f>
        <v>80.3</v>
      </c>
      <c r="H55" s="504">
        <f>G55/'P C Data'!$M$68</f>
        <v>128.47999999999999</v>
      </c>
      <c r="I55" s="504">
        <f>G55*VLOOKUP(VLOOKUP($E55,$E$41:$AU$50,3,FALSE),'Energy Cost &amp; Emissions'!$B$8:$L$29,5,FALSE)</f>
        <v>3.1316999999999998E-3</v>
      </c>
      <c r="J55" s="504">
        <f>G55*VLOOKUP(VLOOKUP($E55,$E$41:$AU$50,3,FALSE),'Energy Cost &amp; Emissions'!$B$8:$L$29,10,FALSE)</f>
        <v>5.55676E-3</v>
      </c>
      <c r="K55" s="513">
        <f>J55/'P C Data'!$M$68</f>
        <v>8.8908159999999993E-3</v>
      </c>
      <c r="L55" s="506" t="s">
        <v>435</v>
      </c>
      <c r="M55" s="507">
        <f>IF(L55="Y",'P C Data'!$D23,0)</f>
        <v>0</v>
      </c>
      <c r="N55" s="508">
        <f>M55/'Syncarb to rMgO Data'!$H$27</f>
        <v>0</v>
      </c>
      <c r="O55" s="508">
        <f>M55*VLOOKUP(VLOOKUP($E55,$E$41:$AU$50,9,FALSE),'Energy Cost &amp; Emissions'!$B$8:$L$29,5,FALSE)</f>
        <v>0</v>
      </c>
      <c r="P55" s="508">
        <f>M55*VLOOKUP(VLOOKUP($E55,$E$41:$AU$50,9,FALSE),'Energy Cost &amp; Emissions'!$B$8:$L$29,10,FALSE)</f>
        <v>0</v>
      </c>
      <c r="Q55" s="514">
        <f>P55/'Syncarb to rMgO Data'!$H$27</f>
        <v>0</v>
      </c>
      <c r="R55" s="506" t="s">
        <v>440</v>
      </c>
      <c r="S55" s="507">
        <f>IF(R55="Y",'P C Data'!$D23,0)</f>
        <v>80.3</v>
      </c>
      <c r="T55" s="508">
        <f>S55/'Syncarb to rMgO Data'!$H$27</f>
        <v>289.08</v>
      </c>
      <c r="U55" s="508">
        <f>S55*VLOOKUP(VLOOKUP($E55,$E$41:$AU$50,15,FALSE),'Energy Cost &amp; Emissions'!$B$8:$L$29,5,FALSE)</f>
        <v>3.1316999999999998E-3</v>
      </c>
      <c r="V55" s="508">
        <f>S55*VLOOKUP(VLOOKUP($E55,$E$41:$AU$50,15,FALSE),'Energy Cost &amp; Emissions'!$B$8:$L$29,10,FALSE)</f>
        <v>5.55676E-3</v>
      </c>
      <c r="W55" s="514">
        <f>V55/'Syncarb to rMgO Data'!$H$27</f>
        <v>2.0004335999999998E-2</v>
      </c>
      <c r="X55" s="506" t="s">
        <v>440</v>
      </c>
      <c r="Y55" s="507">
        <f>IF(X55="Y",'P C Data'!$D23,0)</f>
        <v>80.3</v>
      </c>
      <c r="Z55" s="508">
        <f>Y55/'Lime Energy &amp; CO2 Data'!$H$27</f>
        <v>268.202</v>
      </c>
      <c r="AA55" s="508">
        <f>Y55*VLOOKUP(VLOOKUP($E55,$E$41:$AU$50,21,FALSE),'Energy Cost &amp; Emissions'!$B$8:$L$29,5,FALSE)</f>
        <v>3.1316999999999998E-3</v>
      </c>
      <c r="AB55" s="508">
        <f>Y55*VLOOKUP(VLOOKUP($E55,$E$41:$AU$50,21,FALSE),'Energy Cost &amp; Emissions'!$B$8:$L$29,10,FALSE)</f>
        <v>5.55676E-3</v>
      </c>
      <c r="AC55" s="514">
        <f>AB55/'Lime Energy &amp; CO2 Data'!$H$27</f>
        <v>1.8559578400000002E-2</v>
      </c>
      <c r="AD55" s="506" t="s">
        <v>435</v>
      </c>
      <c r="AE55" s="503">
        <f>IF($AD55="y",'SCM Data'!$C9,0)</f>
        <v>0</v>
      </c>
      <c r="AF55" s="504">
        <f>IF($AD55="Y",'SCM Data'!$D9,0)</f>
        <v>0</v>
      </c>
      <c r="AG55" s="504">
        <f>AE55*VLOOKUP(VLOOKUP($E55,$E$41:$AU$50,27,FALSE),'Energy Cost &amp; Emissions'!$B$8:$L$29,5,FALSE)</f>
        <v>0</v>
      </c>
      <c r="AH55" s="504">
        <f>AE55*VLOOKUP(VLOOKUP($E55,$E$41:$AU$50,27,FALSE),'Energy Cost &amp; Emissions'!$B$8:$L$29,10,FALSE)</f>
        <v>0</v>
      </c>
      <c r="AI55" s="513">
        <f>AH55*'SCM Data'!$C$22</f>
        <v>0</v>
      </c>
      <c r="AJ55" s="506" t="s">
        <v>440</v>
      </c>
      <c r="AK55" s="503">
        <f>IF($AD55="y",'SCM Data'!$C9,0)</f>
        <v>0</v>
      </c>
      <c r="AL55" s="504">
        <f>IF($AD55="Y",'SCM Data'!$E9,0)</f>
        <v>0</v>
      </c>
      <c r="AM55" s="504">
        <f>AK55*VLOOKUP(VLOOKUP($E55,$E$41:$AU$50,33,FALSE),'Energy Cost &amp; Emissions'!$B$8:$L$29,5,FALSE)</f>
        <v>0</v>
      </c>
      <c r="AN55" s="504">
        <f>AK55*VLOOKUP(VLOOKUP($E55,$E$41:$AU$50,33,FALSE),'Energy Cost &amp; Emissions'!$B$8:$L$29,10,FALSE)</f>
        <v>0</v>
      </c>
      <c r="AO55" s="513">
        <f>AN55*'SCM Data'!$C$23</f>
        <v>0</v>
      </c>
      <c r="AP55" s="506" t="s">
        <v>435</v>
      </c>
      <c r="AQ55" s="507">
        <f>IF(AP55="Y",'P C Data'!$D23,0)</f>
        <v>0</v>
      </c>
      <c r="AR55" s="508">
        <f>AQ55/'Syncarb to rMgO Data'!$H$27</f>
        <v>0</v>
      </c>
      <c r="AS55" s="508">
        <f>AQ55*VLOOKUP(VLOOKUP($E55,$E$41:$AU$50,39,FALSE),'Energy Cost &amp; Emissions'!$B$8:$L$29,5,FALSE)</f>
        <v>0</v>
      </c>
      <c r="AT55" s="508">
        <f>AQ55*VLOOKUP(VLOOKUP($E55,$E$41:$AU$50,39,FALSE),'Energy Cost &amp; Emissions'!$B$8:$L$29,10,FALSE)</f>
        <v>0</v>
      </c>
      <c r="AU55" s="514">
        <f>AT55/'Syncarb to rMgO Data'!$H$27</f>
        <v>0</v>
      </c>
      <c r="AV55" s="507">
        <f t="shared" ref="AV55:AV58" si="10">(IF($AV$7&gt;0,$AV$7*$G55,0)+IF($AV$8&gt;0,$AV$8*$M55,0)+IF($AV$9&gt;0,$AV$9*$S55,0)+IF($AV$10&gt;0,$AV$10*$Y55,0)+IF($AV$11&gt;0,$AV$11*$AE55,0)+IF($AV$12&gt;0,$AV$12*$AK55,0)+IF($AV$19&gt;0,$AV$19*$AQ55,0))/100</f>
        <v>5.6210000000000004</v>
      </c>
      <c r="AW55" s="508">
        <f t="shared" ref="AW55:AW58" si="11">(IF($AV$7&gt;0,$AV$7*$H55,0)+IF($AV$8&gt;0,$AV$8*$N55,0)+IF($AV$9&gt;0,$AV$9*$T55,0)+IF($AV$10&gt;0,$AV$10*$Z55,0)+IF($AV$11&gt;0,$AV$11*$AF55,0)+IF($AV$12&gt;0,$AV$12*$AL55,0)+IF($AV$19&gt;0,$AV$19*$AR55,0))/100</f>
        <v>8.9935999999999989</v>
      </c>
      <c r="AX55" s="508">
        <f t="shared" ref="AX55:AX68" si="12">(IF($AV$7&gt;0,$AV$7*$I55,0)+IF($AV$8&gt;0,$AV$8*$O55,0)+IF($AV$9&gt;0,$AV$9*$U55,0)+IF($AV$10&gt;0,$AV$10*$AA55,0)+IF($AV$11&gt;0,$AV$11*$AG55,0)+IF($AV$12&gt;0,$AV$12*$AM55,0)+IF($AV$19&gt;0,$AV$19*$AS55,0))/100</f>
        <v>2.1921899999999999E-4</v>
      </c>
      <c r="AY55" s="508">
        <f t="shared" ref="AY55:AY68" si="13">(IF($AV$7&gt;0,$AV$7*$J55,0)+IF($AV$8&gt;0,$AV$8*$P55,0)+IF($AV$9&gt;0,$AV$9*$V55,0)+IF($AV$10&gt;0,$AV$10*$AB55,0)+IF($AV$11&gt;0,$AV$11*$AH55,0)+IF($AV$12&gt;0,$AV$12*$AN55,0)+IF($AV$19&gt;0,$AV$19*$AT55,0))/100</f>
        <v>3.8897319999999999E-4</v>
      </c>
      <c r="AZ55" s="512">
        <f t="shared" ref="AZ55:AZ68" si="14">(IF($AV$7&gt;0,$AV$7*$K55,0)+IF($AV$8&gt;0,$AV$8*$Q55,0)+IF($AV$9&gt;0,$AV$9*$W55,0)+IF($AV$10&gt;0,$AV$10*$AC55,0)+IF($AV$11&gt;0,$AV$11*$AI55,0)+IF($AV$12&gt;0,$AV$12*$AO55,0)+IF($AV$19&gt;0,$AV$19*$AU55,0))/100</f>
        <v>6.2235711999999999E-4</v>
      </c>
      <c r="BA55" s="507">
        <f>(IF($BA$7&gt;0,$BA$7*$G55,0)+IF($BA$8&gt;0,$BA$8*$M55,0)+IF($BA$9&gt;0,$BA$9*$S55,0)+IF($BA$10&gt;0,$BA$10*$Y55,0)+IF($BA$11&gt;0,$BA$11*$AE55,0)+IF($BA$12&gt;0,$BA$12*$AK55,0)+IF($BA$19&gt;0,$BA$19*$AQ55,0))/100</f>
        <v>3.2119999999999997</v>
      </c>
      <c r="BB55" s="508">
        <f>(IF($BA$7&gt;0,$BA$7*$H55,0)+IF($BA$8&gt;0,$BA$8*$N55,0)+IF($BA$9&gt;0,$BA$9*$T55,0)+IF($BA$10&gt;0,$BA$10*$Z55,0)+IF($BA$11&gt;0,$BA$11*$AF55,0)+IF($BA$12&gt;0,$BA$12*$AL55,0)+IF($BA$19&gt;0,$BA$19*$AR55,0))/100</f>
        <v>5.1391999999999998</v>
      </c>
      <c r="BC55" s="508">
        <f>(IF($BA$7&gt;0,$BA$7*$I55,0)+IF($BA$8&gt;0,$BA$8*$O55,0)+IF($BA$9&gt;0,$BA$9*$U55,0)+IF($BA$10&gt;0,$BA$10*$AA55,0)+IF($BA$11&gt;0,$BA$11*$AG55,0)+IF($BA$12&gt;0,$BA$12*$AM55,0)+IF($BA$19&gt;0,$BA$19*$AS55,0))/100</f>
        <v>1.2526799999999999E-4</v>
      </c>
      <c r="BD55" s="508">
        <f>(IF($BA$7&gt;0,$BA$7*$J55,0)+IF($BA$8&gt;0,$BA$8*$P55,0)+IF($BA$9&gt;0,$BA$9*$V55,0)+IF($BA$10&gt;0,$BA$10*$AB55,0)+IF($BA$11&gt;0,$BA$11*$AH55,0)+IF($BA$12&gt;0,$BA$12*$AN55,0)+IF($BA$19&gt;0,$BA$19*$AT55,0))/100</f>
        <v>2.222704E-4</v>
      </c>
      <c r="BE55" s="514">
        <f>(IF($BA$7&gt;0,$BA$7*$K55,0)+IF($BA$8&gt;0,$BA$8*$Q55,0)+IF($BA$9&gt;0,$BA$9*$W55,0)+IF($BA$10&gt;0,$BA$10*$AC55,0)+IF($BA$11&gt;0,$BA$11*$AI55,0)+IF($BA$12&gt;0,$BA$12*$AO55,0)+IF($BA$19&gt;0,$BA$19*$AU55,0))/100</f>
        <v>3.5563263999999998E-4</v>
      </c>
      <c r="BF55" s="507">
        <f>(IF($BF$7&gt;0,$BF$7*$G55,0)+IF($BF$8&gt;0,$BF$8*$M55,0)+IF($BF$9&gt;0,$BF$9*$S55,0)+IF($BF$10&gt;0,$BF$10*$Y55,0)+IF($BF$11&gt;0,$BF$11*$AE55,0)+IF($BF$12&gt;0,$BF$12*$AK55,0)+IF($BF$19&gt;0,$BF$19*$AQ55,0))/100</f>
        <v>12.045</v>
      </c>
      <c r="BG55" s="508">
        <f>(IF($BF$7&gt;0,$BF$7*$H55,0)+IF($BF$8&gt;0,$BF$8*$N55,0)+IF($BF$9&gt;0,$BF$9*$T55,0)+IF($BF$10&gt;0,$BF$10*$Z55,0)+IF($BF$11&gt;0,$BF$11*$AF55,0)+IF($BF$12&gt;0,$BF$12*$AL55,0)+IF($BF$19&gt;0,$BF$19*$AR55,0))/100</f>
        <v>40.2303</v>
      </c>
      <c r="BH55" s="508">
        <f>(IF($BF$7&gt;0,$BF$7*$I55,0)+IF($BF$8&gt;0,$BF$8*$O55,0)+IF($BF$9&gt;0,$BF$9*$U55,0)+IF($BF$10&gt;0,$BF$10*$AA55,0)+IF($BF$11&gt;0,$BF$11*$AG55,0)+IF($BF$12&gt;0,$BF$12*$AM55,0)+IF($BF$19&gt;0,$BF$19*$AS55,0))/100</f>
        <v>4.6975499999999998E-4</v>
      </c>
      <c r="BI55" s="508">
        <f>(IF($BF$7&gt;0,$BF$7*$J55,0)+IF($BF$8&gt;0,$BF$8*$P55,0)+IF($BF$9&gt;0,$BF$9*$V55,0)+IF($BF$10&gt;0,$BF$10*$AB55,0)+IF($BF$11&gt;0,$BF$11*$AH55,0)+IF($BF$12&gt;0,$BF$12*$AN55,0)+IF($BF$19&gt;0,$BF$19*$AT55,0))/100</f>
        <v>8.3351400000000004E-4</v>
      </c>
      <c r="BJ55" s="514">
        <f>(IF($BF$7&gt;0,$BF$7*$K55,0)+IF($BF$8&gt;0,$BF$8*$Q55,0)+IF($BF$9&gt;0,$BF$9*$W55,0)+IF($BF$10&gt;0,$BF$10*$AC55,0)+IF($BF$11&gt;0,$BF$11*$AI55,0)+IF($BF$12&gt;0,$BF$12*$AO55,0)+IF($BF$19&gt;0,$BF$19*$AU55,0))/100</f>
        <v>2.7839367600000003E-3</v>
      </c>
      <c r="BK55" s="507">
        <f>(IF($BK$7&gt;0,$BK$7*$G55,0)+IF($BK$8&gt;0,$BK$8*$M55,0)+IF($BK$9&gt;0,$BK$9*$S55,0)+IF($BK$10&gt;0,$BK$10*$Y55,0)+IF($BK$11&gt;0,$BK$11*$AE55,0)+IF($BK$12&gt;0,$BK$12*$AK55,0)+IF($BK$19&gt;0,$BK$19*$AQ55,0))/100</f>
        <v>3.2119999999999997</v>
      </c>
      <c r="BL55" s="508">
        <f>(IF($BK$7&gt;0,$BK$7*$H55,0)+IF($BK$8&gt;0,$BK$8*$N55,0)+IF($BK$9&gt;0,$BK$9*$T55,0)+IF($BK$10&gt;0,$BK$10*$Z55,0)+IF($BK$11&gt;0,$BK$11*$AF55,0)+IF($BK$12&gt;0,$BK$12*$AL55,0)+IF($BK$19&gt;0,$BK$19*$AR55,0))/100</f>
        <v>5.1391999999999998</v>
      </c>
      <c r="BM55" s="508">
        <f>(IF($BK$7&gt;0,$BK$7*$I55,0)+IF($BK$8&gt;0,$BK$8*$O55,0)+IF($BK$9&gt;0,$BK$9*$U55,0)+IF($BK$10&gt;0,$BK$10*$AA55,0)+IF($BK$11&gt;0,$BK$11*$AG55,0)+IF($BK$12&gt;0,$BK$12*$AM55,0)+IF($BK$19&gt;0,$BK$19*$AS55,0))/100</f>
        <v>1.2526799999999999E-4</v>
      </c>
      <c r="BN55" s="508">
        <f>(IF($BK$7&gt;0,$BK$7*$J55,0)+IF($BK$8&gt;0,$BK$8*$P55,0)+IF($BK$9&gt;0,$BK$9*$V55,0)+IF($BK$10&gt;0,$BK$10*$AB55,0)+IF($BK$11&gt;0,$BK$11*$AH55,0)+IF($BK$12&gt;0,$BK$12*$AN55,0)+IF($BK$19&gt;0,$BK$19*$AT55,0))/100</f>
        <v>2.222704E-4</v>
      </c>
      <c r="BO55" s="514">
        <f>(IF($BK$7&gt;0,$BK$7*$K55,0)+IF($BK$8&gt;0,$BK$8*$Q55,0)+IF($BK$9&gt;0,$BK$9*$W55,0)+IF($BK$10&gt;0,$BK$10*$AC55,0)+IF($BK$11&gt;0,$BK$11*$AI55,0)+IF($BK$12&gt;0,$BK$12*$AO55,0)+IF($BK$19&gt;0,$BK$19*$AU55,0))/100</f>
        <v>3.5563263999999998E-4</v>
      </c>
      <c r="BP55" s="507">
        <f>(IF($BP$7&gt;0,$BP$7*$G55,0)+IF($BP$8&gt;0,$BP$8*$M55,0)+IF($BP$9&gt;0,$BP$9*$S55,0)+IF($BP$10&gt;0,$BP$10*$Y55,0)+IF($BP$11&gt;0,$BP$11*$AE55,0)+IF($BP$12&gt;0,$BP$12*$AK55,0)+IF($BP$19&gt;0,$BP$19*$AQ55,0))/100</f>
        <v>3.2119999999999997</v>
      </c>
      <c r="BQ55" s="508">
        <f>(IF($BP$7&gt;0,$BP$7*$H55,0)+IF($BP$8&gt;0,$BP$8*$N55,0)+IF($BP$9&gt;0,$BP$9*$T55,0)+IF($BP$10&gt;0,$BP$10*$Z55,0)+IF($BP$11&gt;0,$BP$11*$AF55,0)+IF($BP$12&gt;0,$BP$12*$AL55,0)+IF($BP$19&gt;0,$BP$19*$AR55,0))/100</f>
        <v>5.1391999999999998</v>
      </c>
      <c r="BR55" s="508">
        <f>(IF($BP$7&gt;0,$BP$7*$I55,0)+IF($BP$8&gt;0,$BP$8*$O55,0)+IF($BP$9&gt;0,$BP$9*$U55,0)+IF($BP$10&gt;0,$BP$10*$AA55,0)+IF($BP$11&gt;0,$BP$11*$AG55,0)+IF($BP$12&gt;0,$BP$12*$AM55,0)+IF($BP$19&gt;0,$BP$19*$AS55,0))/100</f>
        <v>1.2526799999999999E-4</v>
      </c>
      <c r="BS55" s="508">
        <f>(IF($BP$7&gt;0,$BP$7*$J55,0)+IF($BP$8&gt;0,$BP$8*$P55,0)+IF($BP$9&gt;0,$BP$9*$V55,0)+IF($BP$10&gt;0,$BP$10*$AB55,0)+IF($BP$11&gt;0,$BP$11*$AH55,0)+IF($BP$12&gt;0,$BP$12*$AN55,0)+IF($BP$19&gt;0,$BP$19*$AT55,0))/100</f>
        <v>2.222704E-4</v>
      </c>
      <c r="BT55" s="514">
        <f>(IF($BP$7&gt;0,$BP$7*$K55,0)+IF($BP$8&gt;0,$BP$8*$Q55,0)+IF($BP$9&gt;0,$BP$9*$W55,0)+IF($BP$10&gt;0,$BP$10*$AC55,0)+IF($BP$11&gt;0,$BP$11*$AI55,0)+IF($BP$12&gt;0,$BP$12*$AO55,0)+IF($BP$19&gt;0,$BP$19*$AU55,0))/100</f>
        <v>3.5563263999999998E-4</v>
      </c>
    </row>
    <row r="56" spans="1:72" s="27" customFormat="1" x14ac:dyDescent="0.25">
      <c r="A56" s="204"/>
      <c r="B56" s="721"/>
      <c r="C56" s="722"/>
      <c r="D56" s="723"/>
      <c r="E56" s="177" t="s">
        <v>56</v>
      </c>
      <c r="F56" s="374" t="s">
        <v>440</v>
      </c>
      <c r="G56" s="503">
        <f>IF(F56="Y",'P C Data'!$D25,0)</f>
        <v>17.77</v>
      </c>
      <c r="H56" s="504">
        <f>G56/'P C Data'!$M$68</f>
        <v>28.431999999999999</v>
      </c>
      <c r="I56" s="504">
        <f>G56*VLOOKUP(VLOOKUP($E56,$E$41:$AU$50,3,FALSE),'Energy Cost &amp; Emissions'!$B$8:$L$29,5,FALSE)</f>
        <v>3.5540000000000002E-4</v>
      </c>
      <c r="J56" s="504">
        <f>G56*VLOOKUP(VLOOKUP($E56,$E$41:$AU$50,3,FALSE),'Energy Cost &amp; Emissions'!$B$8:$L$29,10,FALSE)</f>
        <v>4.4425000000000003E-3</v>
      </c>
      <c r="K56" s="513">
        <f>J56/'P C Data'!$M$68</f>
        <v>7.1080000000000006E-3</v>
      </c>
      <c r="L56" s="506" t="s">
        <v>435</v>
      </c>
      <c r="M56" s="507">
        <f>IF(L56="Y",'P C Data'!$D25,0)</f>
        <v>0</v>
      </c>
      <c r="N56" s="508">
        <f>M56/'Syncarb to rMgO Data'!$H$27</f>
        <v>0</v>
      </c>
      <c r="O56" s="508">
        <f>M56*VLOOKUP(VLOOKUP($E56,$E$41:$AU$50,9,FALSE),'Energy Cost &amp; Emissions'!$B$8:$L$29,5,FALSE)</f>
        <v>0</v>
      </c>
      <c r="P56" s="508">
        <f>M56*VLOOKUP(VLOOKUP($E56,$E$41:$AU$50,9,FALSE),'Energy Cost &amp; Emissions'!$B$8:$L$29,10,FALSE)</f>
        <v>0</v>
      </c>
      <c r="Q56" s="514">
        <f>P56/'Syncarb to rMgO Data'!$H$27</f>
        <v>0</v>
      </c>
      <c r="R56" s="506" t="s">
        <v>440</v>
      </c>
      <c r="S56" s="507">
        <f>IF(R56="Y",'P C Data'!$D25,0)</f>
        <v>17.77</v>
      </c>
      <c r="T56" s="508">
        <f>S56/'Syncarb to rMgO Data'!$H$27</f>
        <v>63.971999999999994</v>
      </c>
      <c r="U56" s="508">
        <f>S56*VLOOKUP(VLOOKUP($E56,$E$41:$AU$50,15,FALSE),'Energy Cost &amp; Emissions'!$B$8:$L$29,5,FALSE)</f>
        <v>3.5540000000000002E-4</v>
      </c>
      <c r="V56" s="508">
        <f>S56*VLOOKUP(VLOOKUP($E56,$E$41:$AU$50,15,FALSE),'Energy Cost &amp; Emissions'!$B$8:$L$29,10,FALSE)</f>
        <v>4.4425000000000003E-3</v>
      </c>
      <c r="W56" s="514">
        <f>V56/'Syncarb to rMgO Data'!$H$27</f>
        <v>1.5993E-2</v>
      </c>
      <c r="X56" s="506" t="s">
        <v>440</v>
      </c>
      <c r="Y56" s="507">
        <f>IF(X56="Y",'P C Data'!$D25,0)</f>
        <v>17.77</v>
      </c>
      <c r="Z56" s="508">
        <f>Y56/'Lime Energy &amp; CO2 Data'!$H$27</f>
        <v>59.351800000000004</v>
      </c>
      <c r="AA56" s="508">
        <f>Y56*VLOOKUP(VLOOKUP($E56,$E$41:$AU$50,21,FALSE),'Energy Cost &amp; Emissions'!$B$8:$L$29,5,FALSE)</f>
        <v>3.5540000000000002E-4</v>
      </c>
      <c r="AB56" s="508">
        <f>Y56*VLOOKUP(VLOOKUP($E56,$E$41:$AU$50,21,FALSE),'Energy Cost &amp; Emissions'!$B$8:$L$29,10,FALSE)</f>
        <v>4.4425000000000003E-3</v>
      </c>
      <c r="AC56" s="514">
        <f>AB56/'Lime Energy &amp; CO2 Data'!$H$27</f>
        <v>1.4837950000000003E-2</v>
      </c>
      <c r="AD56" s="506" t="s">
        <v>435</v>
      </c>
      <c r="AE56" s="503">
        <f>IF($AD56="y",'SCM Data'!$C10,0)</f>
        <v>0</v>
      </c>
      <c r="AF56" s="504">
        <f>IF($AD56="Y",'SCM Data'!$D10,0)</f>
        <v>0</v>
      </c>
      <c r="AG56" s="504">
        <f>AE56*VLOOKUP(VLOOKUP($E56,$E$41:$AU$50,27,FALSE),'Energy Cost &amp; Emissions'!$B$8:$L$29,5,FALSE)</f>
        <v>0</v>
      </c>
      <c r="AH56" s="504">
        <f>AE56*VLOOKUP(VLOOKUP($E56,$E$41:$AU$50,27,FALSE),'Energy Cost &amp; Emissions'!$B$8:$L$29,10,FALSE)</f>
        <v>0</v>
      </c>
      <c r="AI56" s="513">
        <f>AH56*'SCM Data'!$C$22</f>
        <v>0</v>
      </c>
      <c r="AJ56" s="506" t="s">
        <v>440</v>
      </c>
      <c r="AK56" s="503">
        <f>IF($AD56="y",'SCM Data'!$C10,0)</f>
        <v>0</v>
      </c>
      <c r="AL56" s="504">
        <f>IF($AD56="Y",'SCM Data'!$E10,0)</f>
        <v>0</v>
      </c>
      <c r="AM56" s="504">
        <f>AK56*VLOOKUP(VLOOKUP($E56,$E$41:$AU$50,33,FALSE),'Energy Cost &amp; Emissions'!$B$8:$L$29,5,FALSE)</f>
        <v>0</v>
      </c>
      <c r="AN56" s="504">
        <f>AK56*VLOOKUP(VLOOKUP($E56,$E$41:$AU$50,33,FALSE),'Energy Cost &amp; Emissions'!$B$8:$L$29,10,FALSE)</f>
        <v>0</v>
      </c>
      <c r="AO56" s="513">
        <f>AN56*'SCM Data'!$C$23</f>
        <v>0</v>
      </c>
      <c r="AP56" s="506" t="s">
        <v>435</v>
      </c>
      <c r="AQ56" s="507">
        <f>IF(AP56="Y",'P C Data'!$D25,0)</f>
        <v>0</v>
      </c>
      <c r="AR56" s="508">
        <f>AQ56/'Syncarb to rMgO Data'!$H$27</f>
        <v>0</v>
      </c>
      <c r="AS56" s="508">
        <f>AQ56*VLOOKUP(VLOOKUP($E56,$E$41:$AU$50,39,FALSE),'Energy Cost &amp; Emissions'!$B$8:$L$29,5,FALSE)</f>
        <v>0</v>
      </c>
      <c r="AT56" s="508">
        <f>AQ56*VLOOKUP(VLOOKUP($E56,$E$41:$AU$50,39,FALSE),'Energy Cost &amp; Emissions'!$B$8:$L$29,10,FALSE)</f>
        <v>0</v>
      </c>
      <c r="AU56" s="514">
        <f>AT56/'Syncarb to rMgO Data'!$H$27</f>
        <v>0</v>
      </c>
      <c r="AV56" s="507">
        <f t="shared" si="10"/>
        <v>1.2439</v>
      </c>
      <c r="AW56" s="508">
        <f t="shared" si="11"/>
        <v>1.99024</v>
      </c>
      <c r="AX56" s="508">
        <f t="shared" si="12"/>
        <v>2.4878000000000001E-5</v>
      </c>
      <c r="AY56" s="508">
        <f t="shared" si="13"/>
        <v>3.1097500000000001E-4</v>
      </c>
      <c r="AZ56" s="512">
        <f t="shared" si="14"/>
        <v>4.9755999999999997E-4</v>
      </c>
      <c r="BA56" s="507">
        <f>(IF($BA$7&gt;0,$BA$7*$G56,0)+IF($BA$8&gt;0,$BA$8*$M56,0)+IF($BA$9&gt;0,$BA$9*$S56,0)+IF($BA$10&gt;0,$BA$10*$Y56,0)+IF($BA$11&gt;0,$BA$11*$AE56,0)+IF($BA$12&gt;0,$BA$12*$AK56,0)+IF($BA$19&gt;0,$BA$19*$AQ56,0))/100</f>
        <v>0.71079999999999999</v>
      </c>
      <c r="BB56" s="508">
        <f>(IF($BA$7&gt;0,$BA$7*$H56,0)+IF($BA$8&gt;0,$BA$8*$N56,0)+IF($BA$9&gt;0,$BA$9*$T56,0)+IF($BA$10&gt;0,$BA$10*$Z56,0)+IF($BA$11&gt;0,$BA$11*$AF56,0)+IF($BA$12&gt;0,$BA$12*$AL56,0)+IF($BA$19&gt;0,$BA$19*$AR56,0))/100</f>
        <v>1.1372799999999998</v>
      </c>
      <c r="BC56" s="508">
        <f>(IF($BA$7&gt;0,$BA$7*$I56,0)+IF($BA$8&gt;0,$BA$8*$O56,0)+IF($BA$9&gt;0,$BA$9*$U56,0)+IF($BA$10&gt;0,$BA$10*$AA56,0)+IF($BA$11&gt;0,$BA$11*$AG56,0)+IF($BA$12&gt;0,$BA$12*$AM56,0)+IF($BA$19&gt;0,$BA$19*$AS56,0))/100</f>
        <v>1.4216000000000001E-5</v>
      </c>
      <c r="BD56" s="508">
        <f>(IF($BA$7&gt;0,$BA$7*$J56,0)+IF($BA$8&gt;0,$BA$8*$P56,0)+IF($BA$9&gt;0,$BA$9*$V56,0)+IF($BA$10&gt;0,$BA$10*$AB56,0)+IF($BA$11&gt;0,$BA$11*$AH56,0)+IF($BA$12&gt;0,$BA$12*$AN56,0)+IF($BA$19&gt;0,$BA$19*$AT56,0))/100</f>
        <v>1.7770000000000001E-4</v>
      </c>
      <c r="BE56" s="514">
        <f>(IF($BA$7&gt;0,$BA$7*$K56,0)+IF($BA$8&gt;0,$BA$8*$Q56,0)+IF($BA$9&gt;0,$BA$9*$W56,0)+IF($BA$10&gt;0,$BA$10*$AC56,0)+IF($BA$11&gt;0,$BA$11*$AI56,0)+IF($BA$12&gt;0,$BA$12*$AO56,0)+IF($BA$19&gt;0,$BA$19*$AU56,0))/100</f>
        <v>2.8432000000000002E-4</v>
      </c>
      <c r="BF56" s="507">
        <f>(IF($BF$7&gt;0,$BF$7*$G56,0)+IF($BF$8&gt;0,$BF$8*$M56,0)+IF($BF$9&gt;0,$BF$9*$S56,0)+IF($BF$10&gt;0,$BF$10*$Y56,0)+IF($BF$11&gt;0,$BF$11*$AE56,0)+IF($BF$12&gt;0,$BF$12*$AK56,0)+IF($BF$19&gt;0,$BF$19*$AQ56,0))/100</f>
        <v>2.6655000000000002</v>
      </c>
      <c r="BG56" s="508">
        <f>(IF($BF$7&gt;0,$BF$7*$H56,0)+IF($BF$8&gt;0,$BF$8*$N56,0)+IF($BF$9&gt;0,$BF$9*$T56,0)+IF($BF$10&gt;0,$BF$10*$Z56,0)+IF($BF$11&gt;0,$BF$11*$AF56,0)+IF($BF$12&gt;0,$BF$12*$AL56,0)+IF($BF$19&gt;0,$BF$19*$AR56,0))/100</f>
        <v>8.9027700000000003</v>
      </c>
      <c r="BH56" s="508">
        <f>(IF($BF$7&gt;0,$BF$7*$I56,0)+IF($BF$8&gt;0,$BF$8*$O56,0)+IF($BF$9&gt;0,$BF$9*$U56,0)+IF($BF$10&gt;0,$BF$10*$AA56,0)+IF($BF$11&gt;0,$BF$11*$AG56,0)+IF($BF$12&gt;0,$BF$12*$AM56,0)+IF($BF$19&gt;0,$BF$19*$AS56,0))/100</f>
        <v>5.331000000000001E-5</v>
      </c>
      <c r="BI56" s="508">
        <f>(IF($BF$7&gt;0,$BF$7*$J56,0)+IF($BF$8&gt;0,$BF$8*$P56,0)+IF($BF$9&gt;0,$BF$9*$V56,0)+IF($BF$10&gt;0,$BF$10*$AB56,0)+IF($BF$11&gt;0,$BF$11*$AH56,0)+IF($BF$12&gt;0,$BF$12*$AN56,0)+IF($BF$19&gt;0,$BF$19*$AT56,0))/100</f>
        <v>6.6637499999999998E-4</v>
      </c>
      <c r="BJ56" s="514">
        <f>(IF($BF$7&gt;0,$BF$7*$K56,0)+IF($BF$8&gt;0,$BF$8*$Q56,0)+IF($BF$9&gt;0,$BF$9*$W56,0)+IF($BF$10&gt;0,$BF$10*$AC56,0)+IF($BF$11&gt;0,$BF$11*$AI56,0)+IF($BF$12&gt;0,$BF$12*$AO56,0)+IF($BF$19&gt;0,$BF$19*$AU56,0))/100</f>
        <v>2.2256925000000006E-3</v>
      </c>
      <c r="BK56" s="507">
        <f>(IF($BK$7&gt;0,$BK$7*$G56,0)+IF($BK$8&gt;0,$BK$8*$M56,0)+IF($BK$9&gt;0,$BK$9*$S56,0)+IF($BK$10&gt;0,$BK$10*$Y56,0)+IF($BK$11&gt;0,$BK$11*$AE56,0)+IF($BK$12&gt;0,$BK$12*$AK56,0)+IF($BK$19&gt;0,$BK$19*$AQ56,0))/100</f>
        <v>0.71079999999999999</v>
      </c>
      <c r="BL56" s="508">
        <f>(IF($BK$7&gt;0,$BK$7*$H56,0)+IF($BK$8&gt;0,$BK$8*$N56,0)+IF($BK$9&gt;0,$BK$9*$T56,0)+IF($BK$10&gt;0,$BK$10*$Z56,0)+IF($BK$11&gt;0,$BK$11*$AF56,0)+IF($BK$12&gt;0,$BK$12*$AL56,0)+IF($BK$19&gt;0,$BK$19*$AR56,0))/100</f>
        <v>1.1372799999999998</v>
      </c>
      <c r="BM56" s="508">
        <f>(IF($BK$7&gt;0,$BK$7*$I56,0)+IF($BK$8&gt;0,$BK$8*$O56,0)+IF($BK$9&gt;0,$BK$9*$U56,0)+IF($BK$10&gt;0,$BK$10*$AA56,0)+IF($BK$11&gt;0,$BK$11*$AG56,0)+IF($BK$12&gt;0,$BK$12*$AM56,0)+IF($BK$19&gt;0,$BK$19*$AS56,0))/100</f>
        <v>1.4216000000000001E-5</v>
      </c>
      <c r="BN56" s="508">
        <f>(IF($BK$7&gt;0,$BK$7*$J56,0)+IF($BK$8&gt;0,$BK$8*$P56,0)+IF($BK$9&gt;0,$BK$9*$V56,0)+IF($BK$10&gt;0,$BK$10*$AB56,0)+IF($BK$11&gt;0,$BK$11*$AH56,0)+IF($BK$12&gt;0,$BK$12*$AN56,0)+IF($BK$19&gt;0,$BK$19*$AT56,0))/100</f>
        <v>1.7770000000000001E-4</v>
      </c>
      <c r="BO56" s="514">
        <f>(IF($BK$7&gt;0,$BK$7*$K56,0)+IF($BK$8&gt;0,$BK$8*$Q56,0)+IF($BK$9&gt;0,$BK$9*$W56,0)+IF($BK$10&gt;0,$BK$10*$AC56,0)+IF($BK$11&gt;0,$BK$11*$AI56,0)+IF($BK$12&gt;0,$BK$12*$AO56,0)+IF($BK$19&gt;0,$BK$19*$AU56,0))/100</f>
        <v>2.8432000000000002E-4</v>
      </c>
      <c r="BP56" s="507">
        <f>(IF($BP$7&gt;0,$BP$7*$G56,0)+IF($BP$8&gt;0,$BP$8*$M56,0)+IF($BP$9&gt;0,$BP$9*$S56,0)+IF($BP$10&gt;0,$BP$10*$Y56,0)+IF($BP$11&gt;0,$BP$11*$AE56,0)+IF($BP$12&gt;0,$BP$12*$AK56,0)+IF($BP$19&gt;0,$BP$19*$AQ56,0))/100</f>
        <v>0.71079999999999999</v>
      </c>
      <c r="BQ56" s="508">
        <f>(IF($BP$7&gt;0,$BP$7*$H56,0)+IF($BP$8&gt;0,$BP$8*$N56,0)+IF($BP$9&gt;0,$BP$9*$T56,0)+IF($BP$10&gt;0,$BP$10*$Z56,0)+IF($BP$11&gt;0,$BP$11*$AF56,0)+IF($BP$12&gt;0,$BP$12*$AL56,0)+IF($BP$19&gt;0,$BP$19*$AR56,0))/100</f>
        <v>1.1372799999999998</v>
      </c>
      <c r="BR56" s="508">
        <f>(IF($BP$7&gt;0,$BP$7*$I56,0)+IF($BP$8&gt;0,$BP$8*$O56,0)+IF($BP$9&gt;0,$BP$9*$U56,0)+IF($BP$10&gt;0,$BP$10*$AA56,0)+IF($BP$11&gt;0,$BP$11*$AG56,0)+IF($BP$12&gt;0,$BP$12*$AM56,0)+IF($BP$19&gt;0,$BP$19*$AS56,0))/100</f>
        <v>1.4216000000000001E-5</v>
      </c>
      <c r="BS56" s="508">
        <f>(IF($BP$7&gt;0,$BP$7*$J56,0)+IF($BP$8&gt;0,$BP$8*$P56,0)+IF($BP$9&gt;0,$BP$9*$V56,0)+IF($BP$10&gt;0,$BP$10*$AB56,0)+IF($BP$11&gt;0,$BP$11*$AH56,0)+IF($BP$12&gt;0,$BP$12*$AN56,0)+IF($BP$19&gt;0,$BP$19*$AT56,0))/100</f>
        <v>1.7770000000000001E-4</v>
      </c>
      <c r="BT56" s="514">
        <f>(IF($BP$7&gt;0,$BP$7*$K56,0)+IF($BP$8&gt;0,$BP$8*$Q56,0)+IF($BP$9&gt;0,$BP$9*$W56,0)+IF($BP$10&gt;0,$BP$10*$AC56,0)+IF($BP$11&gt;0,$BP$11*$AI56,0)+IF($BP$12&gt;0,$BP$12*$AO56,0)+IF($BP$19&gt;0,$BP$19*$AU56,0))/100</f>
        <v>2.8432000000000002E-4</v>
      </c>
    </row>
    <row r="57" spans="1:72" s="27" customFormat="1" x14ac:dyDescent="0.25">
      <c r="A57" s="205"/>
      <c r="B57" s="721"/>
      <c r="C57" s="722"/>
      <c r="D57" s="723"/>
      <c r="E57" s="177" t="s">
        <v>57</v>
      </c>
      <c r="F57" s="374" t="s">
        <v>440</v>
      </c>
      <c r="G57" s="503">
        <f>IF(F57="Y",'P C Data'!$D26,0)</f>
        <v>35.53</v>
      </c>
      <c r="H57" s="504">
        <f>G57/'P C Data'!$M$68</f>
        <v>56.847999999999999</v>
      </c>
      <c r="I57" s="504">
        <f>G57*VLOOKUP(VLOOKUP($E57,$E$41:$AU$50,3,FALSE),'Energy Cost &amp; Emissions'!$B$8:$L$29,5,FALSE)</f>
        <v>7.1060000000000003E-4</v>
      </c>
      <c r="J57" s="504">
        <f>G57*VLOOKUP(VLOOKUP($E57,$E$41:$AU$50,3,FALSE),'Energy Cost &amp; Emissions'!$B$8:$L$29,10,FALSE)</f>
        <v>8.8824999999999998E-3</v>
      </c>
      <c r="K57" s="513">
        <f>J57/'P C Data'!$M$68</f>
        <v>1.4211999999999999E-2</v>
      </c>
      <c r="L57" s="506" t="s">
        <v>435</v>
      </c>
      <c r="M57" s="507">
        <f>IF(L58="N",'P C Data'!$D26,0)</f>
        <v>0</v>
      </c>
      <c r="N57" s="508">
        <f>M57/'Syncarb to rMgO Data'!$H$27</f>
        <v>0</v>
      </c>
      <c r="O57" s="508">
        <f>M57*VLOOKUP(VLOOKUP($E57,$E$41:$AU$50,9,FALSE),'Energy Cost &amp; Emissions'!$B$8:$L$29,5,FALSE)</f>
        <v>0</v>
      </c>
      <c r="P57" s="508">
        <f>M57*VLOOKUP(VLOOKUP($E57,$E$41:$AU$50,9,FALSE),'Energy Cost &amp; Emissions'!$B$8:$L$29,10,FALSE)</f>
        <v>0</v>
      </c>
      <c r="Q57" s="514">
        <f>P57/'Syncarb to rMgO Data'!$H$27</f>
        <v>0</v>
      </c>
      <c r="R57" s="506" t="s">
        <v>440</v>
      </c>
      <c r="S57" s="507">
        <f>IF(R57="Y",'P C Data'!$D26,0)</f>
        <v>35.53</v>
      </c>
      <c r="T57" s="508">
        <f>S57/'Syncarb to rMgO Data'!$H$27</f>
        <v>127.908</v>
      </c>
      <c r="U57" s="508">
        <f>S57*VLOOKUP(VLOOKUP($E57,$E$41:$AU$50,15,FALSE),'Energy Cost &amp; Emissions'!$B$8:$L$29,5,FALSE)</f>
        <v>7.1060000000000003E-4</v>
      </c>
      <c r="V57" s="508">
        <f>S57*VLOOKUP(VLOOKUP($E57,$E$41:$AU$50,15,FALSE),'Energy Cost &amp; Emissions'!$B$8:$L$29,10,FALSE)</f>
        <v>8.8824999999999998E-3</v>
      </c>
      <c r="W57" s="514">
        <f>V57/'Syncarb to rMgO Data'!$H$27</f>
        <v>3.1976999999999998E-2</v>
      </c>
      <c r="X57" s="506" t="s">
        <v>440</v>
      </c>
      <c r="Y57" s="507">
        <f>IF(X57="Y",'P C Data'!$D26,0)</f>
        <v>35.53</v>
      </c>
      <c r="Z57" s="508">
        <f>Y57/'Lime Energy &amp; CO2 Data'!$H$27</f>
        <v>118.67020000000001</v>
      </c>
      <c r="AA57" s="508">
        <f>Y57*VLOOKUP(VLOOKUP($E57,$E$41:$AU$50,21,FALSE),'Energy Cost &amp; Emissions'!$B$8:$L$29,5,FALSE)</f>
        <v>7.1060000000000003E-4</v>
      </c>
      <c r="AB57" s="508">
        <f>Y57*VLOOKUP(VLOOKUP($E57,$E$41:$AU$50,21,FALSE),'Energy Cost &amp; Emissions'!$B$8:$L$29,10,FALSE)</f>
        <v>8.8824999999999998E-3</v>
      </c>
      <c r="AC57" s="514">
        <f>AB57/'Lime Energy &amp; CO2 Data'!$H$27</f>
        <v>2.9667550000000001E-2</v>
      </c>
      <c r="AD57" s="506" t="s">
        <v>435</v>
      </c>
      <c r="AE57" s="503">
        <f>IF($AD57="y",'SCM Data'!$C11,0)</f>
        <v>0</v>
      </c>
      <c r="AF57" s="504">
        <f>IF($AD57="Y",'SCM Data'!$D11,0)</f>
        <v>0</v>
      </c>
      <c r="AG57" s="504">
        <f>AE57*VLOOKUP(VLOOKUP($E57,$E$41:$AU$50,27,FALSE),'Energy Cost &amp; Emissions'!$B$8:$L$29,5,FALSE)</f>
        <v>0</v>
      </c>
      <c r="AH57" s="504">
        <f>AE57*VLOOKUP(VLOOKUP($E57,$E$41:$AU$50,27,FALSE),'Energy Cost &amp; Emissions'!$B$8:$L$29,10,FALSE)</f>
        <v>0</v>
      </c>
      <c r="AI57" s="513">
        <f>AH57*'SCM Data'!$C$22</f>
        <v>0</v>
      </c>
      <c r="AJ57" s="506" t="s">
        <v>440</v>
      </c>
      <c r="AK57" s="503">
        <f>IF($AD57="y",'SCM Data'!$C11,0)</f>
        <v>0</v>
      </c>
      <c r="AL57" s="504">
        <f>IF($AD57="Y",'SCM Data'!$E11,0)</f>
        <v>0</v>
      </c>
      <c r="AM57" s="504">
        <f>AK57*VLOOKUP(VLOOKUP($E57,$E$41:$AU$50,33,FALSE),'Energy Cost &amp; Emissions'!$B$8:$L$29,5,FALSE)</f>
        <v>0</v>
      </c>
      <c r="AN57" s="504">
        <f>AK57*VLOOKUP(VLOOKUP($E57,$E$41:$AU$50,33,FALSE),'Energy Cost &amp; Emissions'!$B$8:$L$29,10,FALSE)</f>
        <v>0</v>
      </c>
      <c r="AO57" s="513">
        <f>AN57*'SCM Data'!$C$23</f>
        <v>0</v>
      </c>
      <c r="AP57" s="506" t="s">
        <v>435</v>
      </c>
      <c r="AQ57" s="507">
        <f>IF(AP57="Y",'P C Data'!$D26,0)</f>
        <v>0</v>
      </c>
      <c r="AR57" s="508">
        <f>AQ57/'Syncarb to rMgO Data'!$H$27</f>
        <v>0</v>
      </c>
      <c r="AS57" s="508">
        <f>AQ57*VLOOKUP(VLOOKUP($E57,$E$41:$AU$50,39,FALSE),'Energy Cost &amp; Emissions'!$B$8:$L$29,5,FALSE)</f>
        <v>0</v>
      </c>
      <c r="AT57" s="508">
        <f>AQ57*VLOOKUP(VLOOKUP($E57,$E$41:$AU$50,39,FALSE),'Energy Cost &amp; Emissions'!$B$8:$L$29,10,FALSE)</f>
        <v>0</v>
      </c>
      <c r="AU57" s="514">
        <f>AT57/'Syncarb to rMgO Data'!$H$27</f>
        <v>0</v>
      </c>
      <c r="AV57" s="507">
        <f t="shared" si="10"/>
        <v>2.4870999999999999</v>
      </c>
      <c r="AW57" s="508">
        <f t="shared" si="11"/>
        <v>3.9793599999999998</v>
      </c>
      <c r="AX57" s="508">
        <f t="shared" si="12"/>
        <v>4.9741999999999999E-5</v>
      </c>
      <c r="AY57" s="508">
        <f t="shared" si="13"/>
        <v>6.2177499999999998E-4</v>
      </c>
      <c r="AZ57" s="512">
        <f t="shared" si="14"/>
        <v>9.9483999999999987E-4</v>
      </c>
      <c r="BA57" s="507">
        <f>(IF($BA$7&gt;0,$BA$7*$G57,0)+IF($BA$8&gt;0,$BA$8*$M57,0)+IF($BA$9&gt;0,$BA$9*$S57,0)+IF($BA$10&gt;0,$BA$10*$Y57,0)+IF($BA$11&gt;0,$BA$11*$AE57,0)+IF($BA$12&gt;0,$BA$12*$AK57,0)+IF($BA$19&gt;0,$BA$19*$AQ57,0))/100</f>
        <v>1.4212</v>
      </c>
      <c r="BB57" s="508">
        <f>(IF($BA$7&gt;0,$BA$7*$H57,0)+IF($BA$8&gt;0,$BA$8*$N57,0)+IF($BA$9&gt;0,$BA$9*$T57,0)+IF($BA$10&gt;0,$BA$10*$Z57,0)+IF($BA$11&gt;0,$BA$11*$AF57,0)+IF($BA$12&gt;0,$BA$12*$AL57,0)+IF($BA$19&gt;0,$BA$19*$AR57,0))/100</f>
        <v>2.2739199999999999</v>
      </c>
      <c r="BC57" s="508">
        <f>(IF($BA$7&gt;0,$BA$7*$I57,0)+IF($BA$8&gt;0,$BA$8*$O57,0)+IF($BA$9&gt;0,$BA$9*$U57,0)+IF($BA$10&gt;0,$BA$10*$AA57,0)+IF($BA$11&gt;0,$BA$11*$AG57,0)+IF($BA$12&gt;0,$BA$12*$AM57,0)+IF($BA$19&gt;0,$BA$19*$AS57,0))/100</f>
        <v>2.8424000000000001E-5</v>
      </c>
      <c r="BD57" s="508">
        <f>(IF($BA$7&gt;0,$BA$7*$J57,0)+IF($BA$8&gt;0,$BA$8*$P57,0)+IF($BA$9&gt;0,$BA$9*$V57,0)+IF($BA$10&gt;0,$BA$10*$AB57,0)+IF($BA$11&gt;0,$BA$11*$AH57,0)+IF($BA$12&gt;0,$BA$12*$AN57,0)+IF($BA$19&gt;0,$BA$19*$AT57,0))/100</f>
        <v>3.5530000000000002E-4</v>
      </c>
      <c r="BE57" s="514">
        <f>(IF($BA$7&gt;0,$BA$7*$K57,0)+IF($BA$8&gt;0,$BA$8*$Q57,0)+IF($BA$9&gt;0,$BA$9*$W57,0)+IF($BA$10&gt;0,$BA$10*$AC57,0)+IF($BA$11&gt;0,$BA$11*$AI57,0)+IF($BA$12&gt;0,$BA$12*$AO57,0)+IF($BA$19&gt;0,$BA$19*$AU57,0))/100</f>
        <v>5.6848000000000001E-4</v>
      </c>
      <c r="BF57" s="507">
        <f>(IF($BF$7&gt;0,$BF$7*$G57,0)+IF($BF$8&gt;0,$BF$8*$M57,0)+IF($BF$9&gt;0,$BF$9*$S57,0)+IF($BF$10&gt;0,$BF$10*$Y57,0)+IF($BF$11&gt;0,$BF$11*$AE57,0)+IF($BF$12&gt;0,$BF$12*$AK57,0)+IF($BF$19&gt;0,$BF$19*$AQ57,0))/100</f>
        <v>5.3295000000000003</v>
      </c>
      <c r="BG57" s="508">
        <f>(IF($BF$7&gt;0,$BF$7*$H57,0)+IF($BF$8&gt;0,$BF$8*$N57,0)+IF($BF$9&gt;0,$BF$9*$T57,0)+IF($BF$10&gt;0,$BF$10*$Z57,0)+IF($BF$11&gt;0,$BF$11*$AF57,0)+IF($BF$12&gt;0,$BF$12*$AL57,0)+IF($BF$19&gt;0,$BF$19*$AR57,0))/100</f>
        <v>17.800530000000002</v>
      </c>
      <c r="BH57" s="508">
        <f>(IF($BF$7&gt;0,$BF$7*$I57,0)+IF($BF$8&gt;0,$BF$8*$O57,0)+IF($BF$9&gt;0,$BF$9*$U57,0)+IF($BF$10&gt;0,$BF$10*$AA57,0)+IF($BF$11&gt;0,$BF$11*$AG57,0)+IF($BF$12&gt;0,$BF$12*$AM57,0)+IF($BF$19&gt;0,$BF$19*$AS57,0))/100</f>
        <v>1.0658999999999999E-4</v>
      </c>
      <c r="BI57" s="508">
        <f>(IF($BF$7&gt;0,$BF$7*$J57,0)+IF($BF$8&gt;0,$BF$8*$P57,0)+IF($BF$9&gt;0,$BF$9*$V57,0)+IF($BF$10&gt;0,$BF$10*$AB57,0)+IF($BF$11&gt;0,$BF$11*$AH57,0)+IF($BF$12&gt;0,$BF$12*$AN57,0)+IF($BF$19&gt;0,$BF$19*$AT57,0))/100</f>
        <v>1.332375E-3</v>
      </c>
      <c r="BJ57" s="514">
        <f>(IF($BF$7&gt;0,$BF$7*$K57,0)+IF($BF$8&gt;0,$BF$8*$Q57,0)+IF($BF$9&gt;0,$BF$9*$W57,0)+IF($BF$10&gt;0,$BF$10*$AC57,0)+IF($BF$11&gt;0,$BF$11*$AI57,0)+IF($BF$12&gt;0,$BF$12*$AO57,0)+IF($BF$19&gt;0,$BF$19*$AU57,0))/100</f>
        <v>4.4501325000000005E-3</v>
      </c>
      <c r="BK57" s="507">
        <f>(IF($BK$7&gt;0,$BK$7*$G57,0)+IF($BK$8&gt;0,$BK$8*$M57,0)+IF($BK$9&gt;0,$BK$9*$S57,0)+IF($BK$10&gt;0,$BK$10*$Y57,0)+IF($BK$11&gt;0,$BK$11*$AE57,0)+IF($BK$12&gt;0,$BK$12*$AK57,0)+IF($BK$19&gt;0,$BK$19*$AQ57,0))/100</f>
        <v>1.4212</v>
      </c>
      <c r="BL57" s="508">
        <f>(IF($BK$7&gt;0,$BK$7*$H57,0)+IF($BK$8&gt;0,$BK$8*$N57,0)+IF($BK$9&gt;0,$BK$9*$T57,0)+IF($BK$10&gt;0,$BK$10*$Z57,0)+IF($BK$11&gt;0,$BK$11*$AF57,0)+IF($BK$12&gt;0,$BK$12*$AL57,0)+IF($BK$19&gt;0,$BK$19*$AR57,0))/100</f>
        <v>2.2739199999999999</v>
      </c>
      <c r="BM57" s="508">
        <f>(IF($BK$7&gt;0,$BK$7*$I57,0)+IF($BK$8&gt;0,$BK$8*$O57,0)+IF($BK$9&gt;0,$BK$9*$U57,0)+IF($BK$10&gt;0,$BK$10*$AA57,0)+IF($BK$11&gt;0,$BK$11*$AG57,0)+IF($BK$12&gt;0,$BK$12*$AM57,0)+IF($BK$19&gt;0,$BK$19*$AS57,0))/100</f>
        <v>2.8424000000000001E-5</v>
      </c>
      <c r="BN57" s="508">
        <f>(IF($BK$7&gt;0,$BK$7*$J57,0)+IF($BK$8&gt;0,$BK$8*$P57,0)+IF($BK$9&gt;0,$BK$9*$V57,0)+IF($BK$10&gt;0,$BK$10*$AB57,0)+IF($BK$11&gt;0,$BK$11*$AH57,0)+IF($BK$12&gt;0,$BK$12*$AN57,0)+IF($BK$19&gt;0,$BK$19*$AT57,0))/100</f>
        <v>3.5530000000000002E-4</v>
      </c>
      <c r="BO57" s="514">
        <f>(IF($BK$7&gt;0,$BK$7*$K57,0)+IF($BK$8&gt;0,$BK$8*$Q57,0)+IF($BK$9&gt;0,$BK$9*$W57,0)+IF($BK$10&gt;0,$BK$10*$AC57,0)+IF($BK$11&gt;0,$BK$11*$AI57,0)+IF($BK$12&gt;0,$BK$12*$AO57,0)+IF($BK$19&gt;0,$BK$19*$AU57,0))/100</f>
        <v>5.6848000000000001E-4</v>
      </c>
      <c r="BP57" s="507">
        <f>(IF($BP$7&gt;0,$BP$7*$G57,0)+IF($BP$8&gt;0,$BP$8*$M57,0)+IF($BP$9&gt;0,$BP$9*$S57,0)+IF($BP$10&gt;0,$BP$10*$Y57,0)+IF($BP$11&gt;0,$BP$11*$AE57,0)+IF($BP$12&gt;0,$BP$12*$AK57,0)+IF($BP$19&gt;0,$BP$19*$AQ57,0))/100</f>
        <v>1.4212</v>
      </c>
      <c r="BQ57" s="508">
        <f>(IF($BP$7&gt;0,$BP$7*$H57,0)+IF($BP$8&gt;0,$BP$8*$N57,0)+IF($BP$9&gt;0,$BP$9*$T57,0)+IF($BP$10&gt;0,$BP$10*$Z57,0)+IF($BP$11&gt;0,$BP$11*$AF57,0)+IF($BP$12&gt;0,$BP$12*$AL57,0)+IF($BP$19&gt;0,$BP$19*$AR57,0))/100</f>
        <v>2.2739199999999999</v>
      </c>
      <c r="BR57" s="508">
        <f>(IF($BP$7&gt;0,$BP$7*$I57,0)+IF($BP$8&gt;0,$BP$8*$O57,0)+IF($BP$9&gt;0,$BP$9*$U57,0)+IF($BP$10&gt;0,$BP$10*$AA57,0)+IF($BP$11&gt;0,$BP$11*$AG57,0)+IF($BP$12&gt;0,$BP$12*$AM57,0)+IF($BP$19&gt;0,$BP$19*$AS57,0))/100</f>
        <v>2.8424000000000001E-5</v>
      </c>
      <c r="BS57" s="508">
        <f>(IF($BP$7&gt;0,$BP$7*$J57,0)+IF($BP$8&gt;0,$BP$8*$P57,0)+IF($BP$9&gt;0,$BP$9*$V57,0)+IF($BP$10&gt;0,$BP$10*$AB57,0)+IF($BP$11&gt;0,$BP$11*$AH57,0)+IF($BP$12&gt;0,$BP$12*$AN57,0)+IF($BP$19&gt;0,$BP$19*$AT57,0))/100</f>
        <v>3.5530000000000002E-4</v>
      </c>
      <c r="BT57" s="514">
        <f>(IF($BP$7&gt;0,$BP$7*$K57,0)+IF($BP$8&gt;0,$BP$8*$Q57,0)+IF($BP$9&gt;0,$BP$9*$W57,0)+IF($BP$10&gt;0,$BP$10*$AC57,0)+IF($BP$11&gt;0,$BP$11*$AI57,0)+IF($BP$12&gt;0,$BP$12*$AO57,0)+IF($BP$19&gt;0,$BP$19*$AU57,0))/100</f>
        <v>5.6848000000000001E-4</v>
      </c>
    </row>
    <row r="58" spans="1:72" s="27" customFormat="1" x14ac:dyDescent="0.25">
      <c r="A58" s="205"/>
      <c r="B58" s="721"/>
      <c r="C58" s="722"/>
      <c r="D58" s="723"/>
      <c r="E58" s="177" t="s">
        <v>381</v>
      </c>
      <c r="F58" s="374" t="s">
        <v>435</v>
      </c>
      <c r="G58" s="503">
        <f>IF(F58="Y",'P C Data'!$D28,0)</f>
        <v>0</v>
      </c>
      <c r="H58" s="504">
        <f>G58/'P C Data'!$M$68</f>
        <v>0</v>
      </c>
      <c r="I58" s="504">
        <f>G58*VLOOKUP(VLOOKUP($E58,$E$41:$AU$50,3,FALSE),'Energy Cost &amp; Emissions'!$B$8:$L$29,5,FALSE)</f>
        <v>0</v>
      </c>
      <c r="J58" s="504">
        <f>G58*VLOOKUP(VLOOKUP($E58,$E$41:$AU$50,3,FALSE),'Energy Cost &amp; Emissions'!$B$8:$L$29,10,FALSE)</f>
        <v>0</v>
      </c>
      <c r="K58" s="513">
        <f>J58/'P C Data'!$M$68</f>
        <v>0</v>
      </c>
      <c r="L58" s="506" t="s">
        <v>440</v>
      </c>
      <c r="M58" s="507">
        <f>IF(L58="Y",'Syncarb to rMgO Data'!$L50,'Syncarb to rMgO Data'!$L51)</f>
        <v>100</v>
      </c>
      <c r="N58" s="508">
        <f>M58/'Syncarb to rMgO Data'!$H$27</f>
        <v>360</v>
      </c>
      <c r="O58" s="508">
        <f>M58*VLOOKUP(VLOOKUP($E58,$E$41:$AU$50,9,FALSE),'Energy Cost &amp; Emissions'!$B$8:$L$29,5,FALSE)</f>
        <v>5.0000000000000001E-3</v>
      </c>
      <c r="P58" s="508">
        <f>M58*VLOOKUP(VLOOKUP($E58,$E$41:$AU$50,9,FALSE),'Energy Cost &amp; Emissions'!$B$8:$L$29,10,FALSE)</f>
        <v>1E-3</v>
      </c>
      <c r="Q58" s="514">
        <f>P58/'Syncarb to rMgO Data'!$H$27</f>
        <v>3.5999999999999999E-3</v>
      </c>
      <c r="R58" s="506" t="s">
        <v>435</v>
      </c>
      <c r="S58" s="507">
        <f>IF(R58="Y",'Syncarb to rMgO Data'!$L50,'Syncarb to rMgO Data'!$L51)</f>
        <v>0</v>
      </c>
      <c r="T58" s="508">
        <f>S58/'Syncarb to rMgO Data'!$H$27</f>
        <v>0</v>
      </c>
      <c r="U58" s="508">
        <f>S58*VLOOKUP(VLOOKUP($E58,$E$41:$AU$50,15,FALSE),'Energy Cost &amp; Emissions'!$B$8:$L$29,5,FALSE)</f>
        <v>0</v>
      </c>
      <c r="V58" s="508">
        <f>S58*VLOOKUP(VLOOKUP($E58,$E$41:$AU$50,15,FALSE),'Energy Cost &amp; Emissions'!$B$8:$L$29,10,FALSE)</f>
        <v>0</v>
      </c>
      <c r="W58" s="514">
        <f>V58/'Syncarb to rMgO Data'!$H$27</f>
        <v>0</v>
      </c>
      <c r="X58" s="506" t="s">
        <v>435</v>
      </c>
      <c r="Y58" s="507">
        <f>IF(X58="Y",'Lime Energy &amp; CO2 Data'!$L50,'Lime Energy &amp; CO2 Data'!$L51)</f>
        <v>0</v>
      </c>
      <c r="Z58" s="508">
        <f>Y58/'Lime Energy &amp; CO2 Data'!$H$27</f>
        <v>0</v>
      </c>
      <c r="AA58" s="508">
        <f>Y58*VLOOKUP(VLOOKUP($E58,$E$41:$AU$50,21,FALSE),'Energy Cost &amp; Emissions'!$B$8:$L$29,5,FALSE)</f>
        <v>0</v>
      </c>
      <c r="AB58" s="508">
        <f>Y58*VLOOKUP(VLOOKUP($E58,$E$41:$AU$50,21,FALSE),'Energy Cost &amp; Emissions'!$B$8:$L$29,10,FALSE)</f>
        <v>0</v>
      </c>
      <c r="AC58" s="514">
        <f>AB58/'Lime Energy &amp; CO2 Data'!$H$27</f>
        <v>0</v>
      </c>
      <c r="AD58" s="506" t="s">
        <v>440</v>
      </c>
      <c r="AE58" s="503">
        <f>IF($AD58="y",'SCM Data'!$C12,0)</f>
        <v>50</v>
      </c>
      <c r="AF58" s="504">
        <f>IF($AD58="Y",'SCM Data'!$D12,0)</f>
        <v>150</v>
      </c>
      <c r="AG58" s="504">
        <f>AE58*VLOOKUP(VLOOKUP($E58,$E$41:$AU$50,27,FALSE),'Energy Cost &amp; Emissions'!$B$8:$L$29,5,FALSE)</f>
        <v>1E-3</v>
      </c>
      <c r="AH58" s="504">
        <f>AE58*VLOOKUP(VLOOKUP($E58,$E$41:$AU$50,27,FALSE),'Energy Cost &amp; Emissions'!$B$8:$L$29,10,FALSE)</f>
        <v>1.2500000000000001E-2</v>
      </c>
      <c r="AI58" s="514">
        <f>AH58*'SCM Data'!$C$22</f>
        <v>3.7500000000000006E-2</v>
      </c>
      <c r="AJ58" s="506" t="s">
        <v>435</v>
      </c>
      <c r="AK58" s="503">
        <f>IF($AD58="y",'SCM Data'!$C12,0)</f>
        <v>50</v>
      </c>
      <c r="AL58" s="504">
        <f>IF($AD58="Y",'SCM Data'!$E12,0)</f>
        <v>112.5</v>
      </c>
      <c r="AM58" s="504">
        <f>AK58*VLOOKUP(VLOOKUP($E58,$E$41:$AU$50,33,FALSE),'Energy Cost &amp; Emissions'!$B$8:$L$29,5,FALSE)</f>
        <v>1E-3</v>
      </c>
      <c r="AN58" s="504">
        <f>AK58*VLOOKUP(VLOOKUP($E58,$E$41:$AU$50,33,FALSE),'Energy Cost &amp; Emissions'!$B$8:$L$29,10,FALSE)</f>
        <v>1.2500000000000001E-2</v>
      </c>
      <c r="AO58" s="514">
        <f>AN58*'SCM Data'!$C$23</f>
        <v>2.8125000000000001E-2</v>
      </c>
      <c r="AP58" s="506" t="s">
        <v>440</v>
      </c>
      <c r="AQ58" s="507">
        <f>IF(AP58="Y",'Lime Energy &amp; CO2 Data'!$L50,'Lime Energy &amp; CO2 Data'!$L51)</f>
        <v>100</v>
      </c>
      <c r="AR58" s="508">
        <f>AQ58/'Syncarb to rMgO Data'!$H$27</f>
        <v>360</v>
      </c>
      <c r="AS58" s="508">
        <f>AQ58*VLOOKUP(VLOOKUP($E58,$E$41:$AU$50,39,FALSE),'Energy Cost &amp; Emissions'!$B$8:$L$29,5,FALSE)</f>
        <v>3.8999999999999998E-3</v>
      </c>
      <c r="AT58" s="508">
        <f>AQ58*VLOOKUP(VLOOKUP($E58,$E$41:$AU$50,39,FALSE),'Energy Cost &amp; Emissions'!$B$8:$L$29,10,FALSE)</f>
        <v>9.9999999999999991E-5</v>
      </c>
      <c r="AU58" s="514">
        <f>AT58/'Syncarb to rMgO Data'!$H$27</f>
        <v>3.5999999999999997E-4</v>
      </c>
      <c r="AV58" s="515">
        <f t="shared" si="10"/>
        <v>23.75</v>
      </c>
      <c r="AW58" s="516">
        <f t="shared" si="11"/>
        <v>82.575000000000003</v>
      </c>
      <c r="AX58" s="516">
        <f t="shared" si="12"/>
        <v>8.7749999999999992E-4</v>
      </c>
      <c r="AY58" s="516">
        <f t="shared" si="13"/>
        <v>7.7750000000000009E-4</v>
      </c>
      <c r="AZ58" s="512">
        <f t="shared" si="14"/>
        <v>2.0677500000000001E-3</v>
      </c>
      <c r="BA58" s="515">
        <f>(IF($BA$7&gt;0,$BA$7*$G58,0)+IF($BA$8&gt;0,$BA$8*$M58,0)+IF($BA$9&gt;0,$BA$9*$S58,0)+IF($BA$10&gt;0,$BA$10*$Y58,0)+IF($BA$11&gt;0,$BA$11*$AE58,0)+IF($BA$12&gt;0,$BA$12*$AK58,0)+IF($BA$19&gt;0,$BA$19*$AQ58,0))/100</f>
        <v>11</v>
      </c>
      <c r="BB58" s="508">
        <f>(IF($BA$7&gt;0,$BA$7*$H58,0)+IF($BA$8&gt;0,$BA$8*$N58,0)+IF($BA$9&gt;0,$BA$9*$T58,0)+IF($BA$10&gt;0,$BA$10*$Z58,0)+IF($BA$11&gt;0,$BA$11*$AF58,0)+IF($BA$12&gt;0,$BA$12*$AL58,0)+IF($BA$19&gt;0,$BA$19*$AR58,0))/100</f>
        <v>39.6</v>
      </c>
      <c r="BC58" s="508">
        <f>(IF($BA$7&gt;0,$BA$7*$I58,0)+IF($BA$8&gt;0,$BA$8*$O58,0)+IF($BA$9&gt;0,$BA$9*$U58,0)+IF($BA$10&gt;0,$BA$10*$AA58,0)+IF($BA$11&gt;0,$BA$11*$AG58,0)+IF($BA$12&gt;0,$BA$12*$AM58,0)+IF($BA$19&gt;0,$BA$19*$AS58,0))/100</f>
        <v>5.5000000000000003E-4</v>
      </c>
      <c r="BD58" s="508">
        <f>(IF($BA$7&gt;0,$BA$7*$J58,0)+IF($BA$8&gt;0,$BA$8*$P58,0)+IF($BA$9&gt;0,$BA$9*$V58,0)+IF($BA$10&gt;0,$BA$10*$AB58,0)+IF($BA$11&gt;0,$BA$11*$AH58,0)+IF($BA$12&gt;0,$BA$12*$AN58,0)+IF($BA$19&gt;0,$BA$19*$AT58,0))/100</f>
        <v>1.0999999999999999E-4</v>
      </c>
      <c r="BE58" s="514">
        <f>(IF($BA$7&gt;0,$BA$7*$K58,0)+IF($BA$8&gt;0,$BA$8*$Q58,0)+IF($BA$9&gt;0,$BA$9*$W58,0)+IF($BA$10&gt;0,$BA$10*$AC58,0)+IF($BA$11&gt;0,$BA$11*$AI58,0)+IF($BA$12&gt;0,$BA$12*$AO58,0)+IF($BA$19&gt;0,$BA$19*$AU58,0))/100</f>
        <v>3.9599999999999998E-4</v>
      </c>
      <c r="BF58" s="515">
        <f>(IF($BF$7&gt;0,$BF$7*$G58,0)+IF($BF$8&gt;0,$BF$8*$M58,0)+IF($BF$9&gt;0,$BF$9*$S58,0)+IF($BF$10&gt;0,$BF$10*$Y58,0)+IF($BF$11&gt;0,$BF$11*$AE58,0)+IF($BF$12&gt;0,$BF$12*$AK58,0)+IF($BF$19&gt;0,$BF$19*$AQ58,0))/100</f>
        <v>0</v>
      </c>
      <c r="BG58" s="508">
        <f>(IF($BF$7&gt;0,$BF$7*$H58,0)+IF($BF$8&gt;0,$BF$8*$N58,0)+IF($BF$9&gt;0,$BF$9*$T58,0)+IF($BF$10&gt;0,$BF$10*$Z58,0)+IF($BF$11&gt;0,$BF$11*$AF58,0)+IF($BF$12&gt;0,$BF$12*$AL58,0)+IF($BF$19&gt;0,$BF$19*$AR58,0))/100</f>
        <v>0</v>
      </c>
      <c r="BH58" s="508">
        <f>(IF($BF$7&gt;0,$BF$7*$I58,0)+IF($BF$8&gt;0,$BF$8*$O58,0)+IF($BF$9&gt;0,$BF$9*$U58,0)+IF($BF$10&gt;0,$BF$10*$AA58,0)+IF($BF$11&gt;0,$BF$11*$AG58,0)+IF($BF$12&gt;0,$BF$12*$AM58,0)+IF($BF$19&gt;0,$BF$19*$AS58,0))/100</f>
        <v>0</v>
      </c>
      <c r="BI58" s="508">
        <f>(IF($BF$7&gt;0,$BF$7*$J58,0)+IF($BF$8&gt;0,$BF$8*$P58,0)+IF($BF$9&gt;0,$BF$9*$V58,0)+IF($BF$10&gt;0,$BF$10*$AB58,0)+IF($BF$11&gt;0,$BF$11*$AH58,0)+IF($BF$12&gt;0,$BF$12*$AN58,0)+IF($BF$19&gt;0,$BF$19*$AT58,0))/100</f>
        <v>0</v>
      </c>
      <c r="BJ58" s="514">
        <f>(IF($BF$7&gt;0,$BF$7*$K58,0)+IF($BF$8&gt;0,$BF$8*$Q58,0)+IF($BF$9&gt;0,$BF$9*$W58,0)+IF($BF$10&gt;0,$BF$10*$AC58,0)+IF($BF$11&gt;0,$BF$11*$AI58,0)+IF($BF$12&gt;0,$BF$12*$AO58,0)+IF($BF$19&gt;0,$BF$19*$AU58,0))/100</f>
        <v>0</v>
      </c>
      <c r="BK58" s="515">
        <f>(IF($BK$7&gt;0,$BK$7*$G58,0)+IF($BK$8&gt;0,$BK$8*$M58,0)+IF($BK$9&gt;0,$BK$9*$S58,0)+IF($BK$10&gt;0,$BK$10*$Y58,0)+IF($BK$11&gt;0,$BK$11*$AE58,0)+IF($BK$12&gt;0,$BK$12*$AK58,0)+IF($BK$19&gt;0,$BK$19*$AQ58,0))/100</f>
        <v>11</v>
      </c>
      <c r="BL58" s="508">
        <f>(IF($BK$7&gt;0,$BK$7*$H58,0)+IF($BK$8&gt;0,$BK$8*$N58,0)+IF($BK$9&gt;0,$BK$9*$T58,0)+IF($BK$10&gt;0,$BK$10*$Z58,0)+IF($BK$11&gt;0,$BK$11*$AF58,0)+IF($BK$12&gt;0,$BK$12*$AL58,0)+IF($BK$19&gt;0,$BK$19*$AR58,0))/100</f>
        <v>39.6</v>
      </c>
      <c r="BM58" s="508">
        <f>(IF($BK$7&gt;0,$BK$7*$I58,0)+IF($BK$8&gt;0,$BK$8*$O58,0)+IF($BK$9&gt;0,$BK$9*$U58,0)+IF($BK$10&gt;0,$BK$10*$AA58,0)+IF($BK$11&gt;0,$BK$11*$AG58,0)+IF($BK$12&gt;0,$BK$12*$AM58,0)+IF($BK$19&gt;0,$BK$19*$AS58,0))/100</f>
        <v>5.5000000000000003E-4</v>
      </c>
      <c r="BN58" s="508">
        <f>(IF($BK$7&gt;0,$BK$7*$J58,0)+IF($BK$8&gt;0,$BK$8*$P58,0)+IF($BK$9&gt;0,$BK$9*$V58,0)+IF($BK$10&gt;0,$BK$10*$AB58,0)+IF($BK$11&gt;0,$BK$11*$AH58,0)+IF($BK$12&gt;0,$BK$12*$AN58,0)+IF($BK$19&gt;0,$BK$19*$AT58,0))/100</f>
        <v>1.0999999999999999E-4</v>
      </c>
      <c r="BO58" s="514">
        <f>(IF($BK$7&gt;0,$BK$7*$K58,0)+IF($BK$8&gt;0,$BK$8*$Q58,0)+IF($BK$9&gt;0,$BK$9*$W58,0)+IF($BK$10&gt;0,$BK$10*$AC58,0)+IF($BK$11&gt;0,$BK$11*$AI58,0)+IF($BK$12&gt;0,$BK$12*$AO58,0)+IF($BK$19&gt;0,$BK$19*$AU58,0))/100</f>
        <v>3.9599999999999998E-4</v>
      </c>
      <c r="BP58" s="507">
        <f>(IF($BP$7&gt;0,$BP$7*$G58,0)+IF($BP$8&gt;0,$BP$8*$M58,0)+IF($BP$9&gt;0,$BP$9*$S58,0)+IF($BP$10&gt;0,$BP$10*$Y58,0)+IF($BP$11&gt;0,$BP$11*$AE58,0)+IF($BP$12&gt;0,$BP$12*$AK58,0)+IF($BP$19&gt;0,$BP$19*$AQ58,0))/100</f>
        <v>91</v>
      </c>
      <c r="BQ58" s="508">
        <f>(IF($BP$7&gt;0,$BP$7*$H58,0)+IF($BP$8&gt;0,$BP$8*$N58,0)+IF($BP$9&gt;0,$BP$9*$T58,0)+IF($BP$10&gt;0,$BP$10*$Z58,0)+IF($BP$11&gt;0,$BP$11*$AF58,0)+IF($BP$12&gt;0,$BP$12*$AL58,0)+IF($BP$19&gt;0,$BP$19*$AR58,0))/100</f>
        <v>327.60000000000002</v>
      </c>
      <c r="BR58" s="508">
        <f>(IF($BP$7&gt;0,$BP$7*$I58,0)+IF($BP$8&gt;0,$BP$8*$O58,0)+IF($BP$9&gt;0,$BP$9*$U58,0)+IF($BP$10&gt;0,$BP$10*$AA58,0)+IF($BP$11&gt;0,$BP$11*$AG58,0)+IF($BP$12&gt;0,$BP$12*$AM58,0)+IF($BP$19&gt;0,$BP$19*$AS58,0))/100</f>
        <v>3.6700000000000001E-3</v>
      </c>
      <c r="BS58" s="508">
        <f>(IF($BP$7&gt;0,$BP$7*$J58,0)+IF($BP$8&gt;0,$BP$8*$P58,0)+IF($BP$9&gt;0,$BP$9*$V58,0)+IF($BP$10&gt;0,$BP$10*$AB58,0)+IF($BP$11&gt;0,$BP$11*$AH58,0)+IF($BP$12&gt;0,$BP$12*$AN58,0)+IF($BP$19&gt;0,$BP$19*$AT58,0))/100</f>
        <v>1.8999999999999998E-4</v>
      </c>
      <c r="BT58" s="514">
        <f>(IF($BP$7&gt;0,$BP$7*$K58,0)+IF($BP$8&gt;0,$BP$8*$Q58,0)+IF($BP$9&gt;0,$BP$9*$W58,0)+IF($BP$10&gt;0,$BP$10*$AC58,0)+IF($BP$11&gt;0,$BP$11*$AI58,0)+IF($BP$12&gt;0,$BP$12*$AO58,0)+IF($BP$19&gt;0,$BP$19*$AU58,0))/100</f>
        <v>6.8399999999999993E-4</v>
      </c>
    </row>
    <row r="59" spans="1:72" s="27" customFormat="1" ht="18.75" thickBot="1" x14ac:dyDescent="0.3">
      <c r="A59" s="205"/>
      <c r="B59" s="718"/>
      <c r="C59" s="719"/>
      <c r="D59" s="720"/>
      <c r="E59" s="183" t="s">
        <v>197</v>
      </c>
      <c r="F59" s="375" t="s">
        <v>442</v>
      </c>
      <c r="G59" s="517">
        <f>SUM(G54:G58)</f>
        <v>178.02</v>
      </c>
      <c r="H59" s="518">
        <f>SUM(H54:H58)</f>
        <v>284.83199999999999</v>
      </c>
      <c r="I59" s="518">
        <f>SUM(I54:I58)</f>
        <v>5.930079999999999E-3</v>
      </c>
      <c r="J59" s="518">
        <f>SUM(J54:J58)</f>
        <v>2.1955624E-2</v>
      </c>
      <c r="K59" s="519">
        <f>SUM(K54:K58)</f>
        <v>3.51289984E-2</v>
      </c>
      <c r="L59" s="520" t="s">
        <v>442</v>
      </c>
      <c r="M59" s="521">
        <f>SUM(M54:M58)</f>
        <v>100</v>
      </c>
      <c r="N59" s="522">
        <f>SUM(N54:N58)</f>
        <v>360</v>
      </c>
      <c r="O59" s="522">
        <f>SUM(O54:O58)</f>
        <v>5.0000000000000001E-3</v>
      </c>
      <c r="P59" s="522">
        <f>SUM(P54:P58)</f>
        <v>1E-3</v>
      </c>
      <c r="Q59" s="523">
        <f>SUM(Q54:Q58)</f>
        <v>3.5999999999999999E-3</v>
      </c>
      <c r="R59" s="520" t="s">
        <v>442</v>
      </c>
      <c r="S59" s="521">
        <f>SUM(S54:S58)</f>
        <v>178.02</v>
      </c>
      <c r="T59" s="522">
        <f>SUM(T54:T58)</f>
        <v>640.87199999999996</v>
      </c>
      <c r="U59" s="522">
        <f>SUM(U54:U58)</f>
        <v>5.930079999999999E-3</v>
      </c>
      <c r="V59" s="522">
        <f>SUM(V54:V58)</f>
        <v>2.1955624E-2</v>
      </c>
      <c r="W59" s="523">
        <f>SUM(W54:W58)</f>
        <v>7.9040246399999986E-2</v>
      </c>
      <c r="X59" s="520" t="s">
        <v>442</v>
      </c>
      <c r="Y59" s="521">
        <f>SUM(Y54:Y58)</f>
        <v>178.02</v>
      </c>
      <c r="Z59" s="522">
        <f>SUM(Z54:Z58)</f>
        <v>594.58680000000004</v>
      </c>
      <c r="AA59" s="522">
        <f>SUM(AA54:AA58)</f>
        <v>5.930079999999999E-3</v>
      </c>
      <c r="AB59" s="522">
        <f>SUM(AB54:AB58)</f>
        <v>2.1955624E-2</v>
      </c>
      <c r="AC59" s="523">
        <f>SUM(AC54:AC58)</f>
        <v>7.333178416000001E-2</v>
      </c>
      <c r="AD59" s="520" t="s">
        <v>442</v>
      </c>
      <c r="AE59" s="517">
        <f>SUM(AE54:AE58)</f>
        <v>50</v>
      </c>
      <c r="AF59" s="518">
        <f>SUM(AF54:AF58)</f>
        <v>150</v>
      </c>
      <c r="AG59" s="518">
        <f>SUM(AG54:AG58)</f>
        <v>1E-3</v>
      </c>
      <c r="AH59" s="518">
        <f>SUM(AH54:AH58)</f>
        <v>1.2500000000000001E-2</v>
      </c>
      <c r="AI59" s="519">
        <f>SUM(AI54:AI58)</f>
        <v>3.7500000000000006E-2</v>
      </c>
      <c r="AJ59" s="520" t="s">
        <v>442</v>
      </c>
      <c r="AK59" s="517">
        <f>SUM(AK54:AK58)</f>
        <v>50</v>
      </c>
      <c r="AL59" s="518">
        <f>SUM(AL54:AL58)</f>
        <v>112.5</v>
      </c>
      <c r="AM59" s="518">
        <f>SUM(AM54:AM58)</f>
        <v>1E-3</v>
      </c>
      <c r="AN59" s="518">
        <f>SUM(AN54:AN58)</f>
        <v>1.2500000000000001E-2</v>
      </c>
      <c r="AO59" s="519">
        <f>SUM(AO54:AO58)</f>
        <v>2.8125000000000001E-2</v>
      </c>
      <c r="AP59" s="520" t="s">
        <v>442</v>
      </c>
      <c r="AQ59" s="521">
        <f t="shared" ref="AQ59:BT59" si="15">SUM(AQ54:AQ58)</f>
        <v>100</v>
      </c>
      <c r="AR59" s="522">
        <f t="shared" si="15"/>
        <v>360</v>
      </c>
      <c r="AS59" s="522">
        <f t="shared" si="15"/>
        <v>3.8999999999999998E-3</v>
      </c>
      <c r="AT59" s="522">
        <f t="shared" si="15"/>
        <v>9.9999999999999991E-5</v>
      </c>
      <c r="AU59" s="523">
        <f t="shared" si="15"/>
        <v>3.5999999999999997E-4</v>
      </c>
      <c r="AV59" s="524">
        <f t="shared" si="15"/>
        <v>36.211399999999998</v>
      </c>
      <c r="AW59" s="525">
        <f t="shared" si="15"/>
        <v>102.51324</v>
      </c>
      <c r="AX59" s="525">
        <f t="shared" si="15"/>
        <v>1.2926055999999998E-3</v>
      </c>
      <c r="AY59" s="525">
        <f t="shared" si="15"/>
        <v>2.31439368E-3</v>
      </c>
      <c r="AZ59" s="526">
        <f t="shared" si="15"/>
        <v>4.5267798879999998E-3</v>
      </c>
      <c r="BA59" s="524">
        <f t="shared" si="15"/>
        <v>18.120799999999999</v>
      </c>
      <c r="BB59" s="525">
        <f t="shared" si="15"/>
        <v>50.993279999999999</v>
      </c>
      <c r="BC59" s="525">
        <f t="shared" si="15"/>
        <v>7.8720320000000006E-4</v>
      </c>
      <c r="BD59" s="525">
        <f t="shared" si="15"/>
        <v>9.8822496000000007E-4</v>
      </c>
      <c r="BE59" s="526">
        <f t="shared" si="15"/>
        <v>1.8011599360000003E-3</v>
      </c>
      <c r="BF59" s="524">
        <f t="shared" si="15"/>
        <v>26.702999999999999</v>
      </c>
      <c r="BG59" s="525">
        <f t="shared" si="15"/>
        <v>89.188019999999995</v>
      </c>
      <c r="BH59" s="525">
        <f t="shared" si="15"/>
        <v>8.8951199999999985E-4</v>
      </c>
      <c r="BI59" s="525">
        <f t="shared" si="15"/>
        <v>3.2933436E-3</v>
      </c>
      <c r="BJ59" s="526">
        <f t="shared" si="15"/>
        <v>1.0999767624000002E-2</v>
      </c>
      <c r="BK59" s="524">
        <f t="shared" si="15"/>
        <v>18.120799999999999</v>
      </c>
      <c r="BL59" s="525">
        <f t="shared" si="15"/>
        <v>50.993279999999999</v>
      </c>
      <c r="BM59" s="525">
        <f t="shared" si="15"/>
        <v>7.8720320000000006E-4</v>
      </c>
      <c r="BN59" s="525">
        <f t="shared" si="15"/>
        <v>9.8822496000000007E-4</v>
      </c>
      <c r="BO59" s="526">
        <f t="shared" si="15"/>
        <v>1.8011599360000003E-3</v>
      </c>
      <c r="BP59" s="524">
        <f t="shared" si="15"/>
        <v>98.120800000000003</v>
      </c>
      <c r="BQ59" s="525">
        <f t="shared" si="15"/>
        <v>338.99328000000003</v>
      </c>
      <c r="BR59" s="525">
        <f t="shared" si="15"/>
        <v>3.9072031999999998E-3</v>
      </c>
      <c r="BS59" s="525">
        <f t="shared" si="15"/>
        <v>1.0682249600000001E-3</v>
      </c>
      <c r="BT59" s="526">
        <f t="shared" si="15"/>
        <v>2.0891599359999999E-3</v>
      </c>
    </row>
    <row r="60" spans="1:72" s="27" customFormat="1" ht="15" customHeight="1" thickBot="1" x14ac:dyDescent="0.3">
      <c r="A60" s="205"/>
      <c r="B60" s="776" t="s">
        <v>415</v>
      </c>
      <c r="C60" s="777"/>
      <c r="D60" s="778"/>
      <c r="E60" s="182" t="s">
        <v>403</v>
      </c>
      <c r="F60" s="374" t="s">
        <v>435</v>
      </c>
      <c r="G60" s="527"/>
      <c r="H60" s="528"/>
      <c r="I60" s="528">
        <f>'Energy &amp; Emissions Comparison'!$D$94*J60</f>
        <v>0</v>
      </c>
      <c r="J60" s="528">
        <f>IF(F60 ="Y",G33*'P C Data'!$D$71,0)</f>
        <v>0</v>
      </c>
      <c r="K60" s="529">
        <f>J60/'P C Data'!$M$68</f>
        <v>0</v>
      </c>
      <c r="L60" s="506" t="s">
        <v>440</v>
      </c>
      <c r="M60" s="530"/>
      <c r="N60" s="531"/>
      <c r="O60" s="531">
        <f>'Energy &amp; Emissions Comparison'!$D$94*P60</f>
        <v>1.6376829570826094E-2</v>
      </c>
      <c r="P60" s="531">
        <f>IF(L60 ="Y",M33*'Syncarb to rMgO Data'!$E$33,0)</f>
        <v>1.091788638055073</v>
      </c>
      <c r="Q60" s="532">
        <f>P60/'Syncarb to rMgO Data'!$H$27</f>
        <v>3.9304390969982625</v>
      </c>
      <c r="R60" s="506" t="s">
        <v>435</v>
      </c>
      <c r="S60" s="530"/>
      <c r="T60" s="531"/>
      <c r="U60" s="531">
        <f>'Energy &amp; Emissions Comparison'!$D$94*V60</f>
        <v>0</v>
      </c>
      <c r="V60" s="531">
        <f>IF(R60 ="Y",S33*'Syncarb to rMgO Data'!$E$33,0)</f>
        <v>0</v>
      </c>
      <c r="W60" s="532">
        <f>V60/'Syncarb to rMgO Data'!$H$27</f>
        <v>0</v>
      </c>
      <c r="X60" s="506" t="s">
        <v>435</v>
      </c>
      <c r="Y60" s="530"/>
      <c r="Z60" s="531"/>
      <c r="AA60" s="531">
        <f>'Energy &amp; Emissions Comparison'!$D$94*AB60</f>
        <v>0</v>
      </c>
      <c r="AB60" s="531">
        <f>IF(X60 ="Y",Y33*'Lime Energy &amp; CO2 Data'!$E$32,0)</f>
        <v>0</v>
      </c>
      <c r="AC60" s="532">
        <f>AB60/'Lime Energy &amp; CO2 Data'!$H$27</f>
        <v>0</v>
      </c>
      <c r="AD60" s="506" t="s">
        <v>440</v>
      </c>
      <c r="AE60" s="527"/>
      <c r="AF60" s="528"/>
      <c r="AG60" s="528"/>
      <c r="AH60" s="528"/>
      <c r="AI60" s="529"/>
      <c r="AJ60" s="506" t="s">
        <v>440</v>
      </c>
      <c r="AK60" s="527"/>
      <c r="AL60" s="528"/>
      <c r="AM60" s="528"/>
      <c r="AN60" s="528"/>
      <c r="AO60" s="529"/>
      <c r="AP60" s="506" t="s">
        <v>440</v>
      </c>
      <c r="AQ60" s="530"/>
      <c r="AR60" s="531"/>
      <c r="AS60" s="531">
        <f>'Energy &amp; Emissions Comparison'!$D$94*AT60</f>
        <v>1.6376829570826094E-2</v>
      </c>
      <c r="AT60" s="531">
        <f>IF(AP60 ="Y",AQ33*'Syncarb to rMgO Data'!$E$33,0)</f>
        <v>1.091788638055073</v>
      </c>
      <c r="AU60" s="532">
        <f>AT60/'Syncarb to rMgO Data'!$H$27</f>
        <v>3.9304390969982625</v>
      </c>
      <c r="AV60" s="533"/>
      <c r="AW60" s="534"/>
      <c r="AX60" s="534">
        <f t="shared" si="12"/>
        <v>3.3981921359464147E-3</v>
      </c>
      <c r="AY60" s="534">
        <f t="shared" si="13"/>
        <v>0.22654614239642765</v>
      </c>
      <c r="AZ60" s="535">
        <f t="shared" si="14"/>
        <v>0.81556611262713963</v>
      </c>
      <c r="BA60" s="533"/>
      <c r="BB60" s="534"/>
      <c r="BC60" s="534">
        <f>(IF($BA$7&gt;0,$BA$7*$I60,0)+IF($BA$8&gt;0,$BA$8*$O60,0)+IF($BA$9&gt;0,$BA$9*$U60,0)+IF($BA$10&gt;0,$BA$10*$AA60,0)+IF($BA$11&gt;0,$BA$11*$AG60,0)+IF($BA$12&gt;0,$BA$12*$AM60,0)+IF($BA$19&gt;0,$BA$19*$AS60,0))/100</f>
        <v>1.8014512527908702E-3</v>
      </c>
      <c r="BD60" s="534">
        <f>(IF($BA$7&gt;0,$BA$7*$J60,0)+IF($BA$8&gt;0,$BA$8*$P60,0)+IF($BA$9&gt;0,$BA$9*$V60,0)+IF($BA$10&gt;0,$BA$10*$AB60,0)+IF($BA$11&gt;0,$BA$11*$AH60,0)+IF($BA$12&gt;0,$BA$12*$AN60,0)+IF($BA$19&gt;0,$BA$19*$AT60,0))/100</f>
        <v>0.12009675018605803</v>
      </c>
      <c r="BE60" s="535">
        <f>(IF($BA$7&gt;0,$BA$7*$K60,0)+IF($BA$8&gt;0,$BA$8*$Q60,0)+IF($BA$9&gt;0,$BA$9*$W60,0)+IF($BA$10&gt;0,$BA$10*$AC60,0)+IF($BA$11&gt;0,$BA$11*$AI60,0)+IF($BA$12&gt;0,$BA$12*$AO60,0)+IF($BA$19&gt;0,$BA$19*$AU60,0))/100</f>
        <v>0.43234830066980889</v>
      </c>
      <c r="BF60" s="533"/>
      <c r="BG60" s="534"/>
      <c r="BH60" s="534">
        <f>(IF($BF$7&gt;0,$BF$7*$I60,0)+IF($BF$8&gt;0,$BF$8*$O60,0)+IF($BF$9&gt;0,$BF$9*$U60,0)+IF($BF$10&gt;0,$BF$10*$AA60,0)+IF($BF$11&gt;0,$BF$11*$AG60,0)+IF($BF$12&gt;0,$BF$12*$AM60,0)+IF($BF$19&gt;0,$BF$19*$AS60,0))/100</f>
        <v>0</v>
      </c>
      <c r="BI60" s="534">
        <f>(IF($BF$7&gt;0,$BF$7*$J60,0)+IF($BF$8&gt;0,$BF$8*$P60,0)+IF($BF$9&gt;0,$BF$9*$V60,0)+IF($BF$10&gt;0,$BF$10*$AB60,0)+IF($BF$11&gt;0,$BF$11*$AH60,0)+IF($BF$12&gt;0,$BF$12*$AN60,0)+IF($BF$19&gt;0,$BF$19*$AT60,0))/100</f>
        <v>0</v>
      </c>
      <c r="BJ60" s="535">
        <f>(IF($BF$7&gt;0,$BF$7*$K60,0)+IF($BF$8&gt;0,$BF$8*$Q60,0)+IF($BF$9&gt;0,$BF$9*$W60,0)+IF($BF$10&gt;0,$BF$10*$AC60,0)+IF($BF$11&gt;0,$BF$11*$AI60,0)+IF($BF$12&gt;0,$BF$12*$AO60,0)+IF($BF$19&gt;0,$BF$19*$AU60,0))/100</f>
        <v>0</v>
      </c>
      <c r="BK60" s="533"/>
      <c r="BL60" s="534"/>
      <c r="BM60" s="534">
        <f>(IF($BK$7&gt;0,$BK$7*$I60,0)+IF($BK$8&gt;0,$BK$8*$O60,0)+IF($BK$9&gt;0,$BK$9*$U60,0)+IF($BK$10&gt;0,$BK$10*$AA60,0)+IF($BK$11&gt;0,$BK$11*$AG60,0)+IF($BK$12&gt;0,$BK$12*$AM60,0)+IF($BK$19&gt;0,$BK$19*$AS60,0))/100</f>
        <v>1.8014512527908702E-3</v>
      </c>
      <c r="BN60" s="534">
        <f>(IF($BK$7&gt;0,$BK$7*$J60,0)+IF($BK$8&gt;0,$BK$8*$P60,0)+IF($BK$9&gt;0,$BK$9*$V60,0)+IF($BK$10&gt;0,$BK$10*$AB60,0)+IF($BK$11&gt;0,$BK$11*$AH60,0)+IF($BK$12&gt;0,$BK$12*$AN60,0)+IF($BK$19&gt;0,$BK$19*$AT60,0))/100</f>
        <v>0.12009675018605803</v>
      </c>
      <c r="BO60" s="535">
        <f>(IF($BK$7&gt;0,$BK$7*$K60,0)+IF($BK$8&gt;0,$BK$8*$Q60,0)+IF($BK$9&gt;0,$BK$9*$W60,0)+IF($BK$10&gt;0,$BK$10*$AC60,0)+IF($BK$11&gt;0,$BK$11*$AI60,0)+IF($BK$12&gt;0,$BK$12*$AO60,0)+IF($BK$19&gt;0,$BK$19*$AU60,0))/100</f>
        <v>0.43234830066980889</v>
      </c>
      <c r="BP60" s="533"/>
      <c r="BQ60" s="534"/>
      <c r="BR60" s="534">
        <f>(IF($BP$7&gt;0,$BP$7*$I60,0)+IF($BP$8&gt;0,$BP$8*$O60,0)+IF($BP$9&gt;0,$BP$9*$U60,0)+IF($BP$10&gt;0,$BP$10*$AA60,0)+IF($BP$11&gt;0,$BP$11*$AG60,0)+IF($BP$12&gt;0,$BP$12*$AM60,0)+IF($BP$19&gt;0,$BP$19*$AS60,0))/100</f>
        <v>1.4902914909451746E-2</v>
      </c>
      <c r="BS60" s="534">
        <f>(IF($BP$7&gt;0,$BP$7*$J60,0)+IF($BP$8&gt;0,$BP$8*$P60,0)+IF($BP$9&gt;0,$BP$9*$V60,0)+IF($BP$10&gt;0,$BP$10*$AB60,0)+IF($BP$11&gt;0,$BP$11*$AH60,0)+IF($BP$12&gt;0,$BP$12*$AN60,0)+IF($BP$19&gt;0,$BP$19*$AT60,0))/100</f>
        <v>0.99352766063011644</v>
      </c>
      <c r="BT60" s="535">
        <f>(IF($BP$7&gt;0,$BP$7*$K60,0)+IF($BP$8&gt;0,$BP$8*$Q60,0)+IF($BP$9&gt;0,$BP$9*$W60,0)+IF($BP$10&gt;0,$BP$10*$AC60,0)+IF($BP$11&gt;0,$BP$11*$AI60,0)+IF($BP$12&gt;0,$BP$12*$AO60,0)+IF($BP$19&gt;0,$BP$19*$AU60,0))/100</f>
        <v>3.5766995782684194</v>
      </c>
    </row>
    <row r="61" spans="1:72" s="27" customFormat="1" ht="18.75" thickBot="1" x14ac:dyDescent="0.3">
      <c r="A61" s="205"/>
      <c r="B61" s="669"/>
      <c r="C61" s="670"/>
      <c r="D61" s="670"/>
      <c r="E61" s="350" t="s">
        <v>416</v>
      </c>
      <c r="F61" s="376" t="s">
        <v>441</v>
      </c>
      <c r="G61" s="536">
        <f>G59-G60</f>
        <v>178.02</v>
      </c>
      <c r="H61" s="536">
        <f>H59-H60</f>
        <v>284.83199999999999</v>
      </c>
      <c r="I61" s="536">
        <f>I59-I60</f>
        <v>5.930079999999999E-3</v>
      </c>
      <c r="J61" s="536">
        <f>J59-J60</f>
        <v>2.1955624E-2</v>
      </c>
      <c r="K61" s="537">
        <f>K59-K60</f>
        <v>3.51289984E-2</v>
      </c>
      <c r="L61" s="538" t="s">
        <v>441</v>
      </c>
      <c r="M61" s="539">
        <f>M59-M60</f>
        <v>100</v>
      </c>
      <c r="N61" s="540">
        <f>N59-N60</f>
        <v>360</v>
      </c>
      <c r="O61" s="540">
        <f>O59-O60</f>
        <v>-1.1376829570826093E-2</v>
      </c>
      <c r="P61" s="540">
        <f>P59-P60</f>
        <v>-1.0907886380550731</v>
      </c>
      <c r="Q61" s="541">
        <f>Q59-Q60</f>
        <v>-3.9268390969982625</v>
      </c>
      <c r="R61" s="538" t="s">
        <v>441</v>
      </c>
      <c r="S61" s="540">
        <f>S59-S60</f>
        <v>178.02</v>
      </c>
      <c r="T61" s="540">
        <f>T59-T60</f>
        <v>640.87199999999996</v>
      </c>
      <c r="U61" s="540">
        <f>U59-U60</f>
        <v>5.930079999999999E-3</v>
      </c>
      <c r="V61" s="540">
        <f>V59-V60</f>
        <v>2.1955624E-2</v>
      </c>
      <c r="W61" s="541">
        <f>W59-W60</f>
        <v>7.9040246399999986E-2</v>
      </c>
      <c r="X61" s="538" t="s">
        <v>441</v>
      </c>
      <c r="Y61" s="540">
        <f>Y59-Y60</f>
        <v>178.02</v>
      </c>
      <c r="Z61" s="540">
        <f>Z59-Z60</f>
        <v>594.58680000000004</v>
      </c>
      <c r="AA61" s="540">
        <f>AA59-AA60</f>
        <v>5.930079999999999E-3</v>
      </c>
      <c r="AB61" s="540">
        <f>AB59-AB60</f>
        <v>2.1955624E-2</v>
      </c>
      <c r="AC61" s="541">
        <f>AC59-AC60</f>
        <v>7.333178416000001E-2</v>
      </c>
      <c r="AD61" s="538" t="s">
        <v>441</v>
      </c>
      <c r="AE61" s="536">
        <f>AE59-AE60</f>
        <v>50</v>
      </c>
      <c r="AF61" s="536">
        <f>AF59-AF60</f>
        <v>150</v>
      </c>
      <c r="AG61" s="536">
        <f>AG59-AG60</f>
        <v>1E-3</v>
      </c>
      <c r="AH61" s="536">
        <f>AH59-AH60</f>
        <v>1.2500000000000001E-2</v>
      </c>
      <c r="AI61" s="537">
        <f>AI59-AI60</f>
        <v>3.7500000000000006E-2</v>
      </c>
      <c r="AJ61" s="538" t="s">
        <v>441</v>
      </c>
      <c r="AK61" s="536">
        <f>AK59-AK60</f>
        <v>50</v>
      </c>
      <c r="AL61" s="536">
        <f>AL59-AL60</f>
        <v>112.5</v>
      </c>
      <c r="AM61" s="536">
        <f>AM59-AM60</f>
        <v>1E-3</v>
      </c>
      <c r="AN61" s="536">
        <f>AN59-AN60</f>
        <v>1.2500000000000001E-2</v>
      </c>
      <c r="AO61" s="537">
        <f>AO59-AO60</f>
        <v>2.8125000000000001E-2</v>
      </c>
      <c r="AP61" s="538" t="s">
        <v>441</v>
      </c>
      <c r="AQ61" s="540">
        <f>AQ59-AQ60</f>
        <v>100</v>
      </c>
      <c r="AR61" s="540">
        <f t="shared" ref="AR61:AU61" si="16">AR59-AR60</f>
        <v>360</v>
      </c>
      <c r="AS61" s="540">
        <f t="shared" si="16"/>
        <v>-1.2476829570826093E-2</v>
      </c>
      <c r="AT61" s="540">
        <f t="shared" si="16"/>
        <v>-1.091688638055073</v>
      </c>
      <c r="AU61" s="541">
        <f t="shared" si="16"/>
        <v>-3.9300790969982624</v>
      </c>
      <c r="AV61" s="540">
        <f t="shared" ref="AV61:BT61" si="17">AV59-AV60</f>
        <v>36.211399999999998</v>
      </c>
      <c r="AW61" s="540">
        <f t="shared" si="17"/>
        <v>102.51324</v>
      </c>
      <c r="AX61" s="540">
        <f t="shared" si="17"/>
        <v>-2.1055865359464149E-3</v>
      </c>
      <c r="AY61" s="540">
        <f t="shared" si="17"/>
        <v>-0.22423174871642765</v>
      </c>
      <c r="AZ61" s="541">
        <f t="shared" si="17"/>
        <v>-0.81103933273913964</v>
      </c>
      <c r="BA61" s="540">
        <f t="shared" si="17"/>
        <v>18.120799999999999</v>
      </c>
      <c r="BB61" s="540">
        <f t="shared" si="17"/>
        <v>50.993279999999999</v>
      </c>
      <c r="BC61" s="540">
        <f t="shared" si="17"/>
        <v>-1.0142480527908701E-3</v>
      </c>
      <c r="BD61" s="540">
        <f t="shared" si="17"/>
        <v>-0.11910852522605803</v>
      </c>
      <c r="BE61" s="540">
        <f t="shared" si="17"/>
        <v>-0.4305471407338089</v>
      </c>
      <c r="BF61" s="540">
        <f t="shared" si="17"/>
        <v>26.702999999999999</v>
      </c>
      <c r="BG61" s="540">
        <f t="shared" si="17"/>
        <v>89.188019999999995</v>
      </c>
      <c r="BH61" s="540">
        <f t="shared" si="17"/>
        <v>8.8951199999999985E-4</v>
      </c>
      <c r="BI61" s="540">
        <f t="shared" si="17"/>
        <v>3.2933436E-3</v>
      </c>
      <c r="BJ61" s="540">
        <f t="shared" si="17"/>
        <v>1.0999767624000002E-2</v>
      </c>
      <c r="BK61" s="540">
        <f t="shared" si="17"/>
        <v>18.120799999999999</v>
      </c>
      <c r="BL61" s="540">
        <f t="shared" si="17"/>
        <v>50.993279999999999</v>
      </c>
      <c r="BM61" s="540">
        <f t="shared" si="17"/>
        <v>-1.0142480527908701E-3</v>
      </c>
      <c r="BN61" s="540">
        <f t="shared" si="17"/>
        <v>-0.11910852522605803</v>
      </c>
      <c r="BO61" s="540">
        <f t="shared" si="17"/>
        <v>-0.4305471407338089</v>
      </c>
      <c r="BP61" s="540">
        <f t="shared" si="17"/>
        <v>98.120800000000003</v>
      </c>
      <c r="BQ61" s="540">
        <f t="shared" si="17"/>
        <v>338.99328000000003</v>
      </c>
      <c r="BR61" s="540">
        <f t="shared" si="17"/>
        <v>-1.0995711709451746E-2</v>
      </c>
      <c r="BS61" s="540">
        <f t="shared" si="17"/>
        <v>-0.99245943567011641</v>
      </c>
      <c r="BT61" s="540">
        <f t="shared" si="17"/>
        <v>-3.5746104183324197</v>
      </c>
    </row>
    <row r="62" spans="1:72" s="27" customFormat="1" x14ac:dyDescent="0.25">
      <c r="A62" s="205"/>
      <c r="B62" s="715" t="s">
        <v>417</v>
      </c>
      <c r="C62" s="716"/>
      <c r="D62" s="717"/>
      <c r="E62" s="175" t="s">
        <v>65</v>
      </c>
      <c r="F62" s="373" t="s">
        <v>440</v>
      </c>
      <c r="G62" s="542">
        <f>IF(F62="Y",'P C Data'!$K$73,0)</f>
        <v>3306</v>
      </c>
      <c r="H62" s="543">
        <f>G62/'P C Data'!$M$68</f>
        <v>5289.6</v>
      </c>
      <c r="I62" s="543">
        <f>G62*VLOOKUP(VLOOKUP($E62,$E$41:$AU$50,3,FALSE),'Energy Cost &amp; Emissions'!$B$8:$L$29,5,FALSE)</f>
        <v>9.9180000000000004E-2</v>
      </c>
      <c r="J62" s="543">
        <f>G62*VLOOKUP(VLOOKUP($E62,$E$41:$AU$50,3,FALSE),'Energy Cost &amp; Emissions'!$B$8:$L$29,10,FALSE)</f>
        <v>0.29158919999999999</v>
      </c>
      <c r="K62" s="544">
        <f>J62/'P C Data'!$M$68</f>
        <v>0.46654271999999997</v>
      </c>
      <c r="L62" s="545" t="s">
        <v>440</v>
      </c>
      <c r="M62" s="546">
        <f>IF(L62="Y",'Syncarb to rMgO Data'!$L$48,0)</f>
        <v>6890.1596357847147</v>
      </c>
      <c r="N62" s="547">
        <f>M62/'Syncarb to rMgO Data'!$H$27</f>
        <v>24804.574688824971</v>
      </c>
      <c r="O62" s="547">
        <f>M62*VLOOKUP(VLOOKUP($E62,$E$41:$AU$50,9,FALSE),'Energy Cost &amp; Emissions'!$B$8:$L$29,5,FALSE)</f>
        <v>0.26871622579560389</v>
      </c>
      <c r="P62" s="547">
        <f>M62*VLOOKUP(VLOOKUP($E62,$E$41:$AU$50,9,FALSE),'Energy Cost &amp; Emissions'!$B$8:$L$29,10,FALSE)</f>
        <v>6.8901596357847147E-3</v>
      </c>
      <c r="Q62" s="548">
        <f>P62/'Syncarb to rMgO Data'!$H$27</f>
        <v>2.4804574688824972E-2</v>
      </c>
      <c r="R62" s="545" t="s">
        <v>440</v>
      </c>
      <c r="S62" s="546">
        <f>IF(R62="Y",'Syncarb to rMgO Data'!$L$48,0)</f>
        <v>6890.1596357847147</v>
      </c>
      <c r="T62" s="547">
        <f>S62/'Syncarb to rMgO Data'!$H$27</f>
        <v>24804.574688824971</v>
      </c>
      <c r="U62" s="547">
        <f>S62*VLOOKUP(VLOOKUP($E62,$E$41:$AU$50,15,FALSE),'Energy Cost &amp; Emissions'!$B$8:$L$29,5,FALSE)</f>
        <v>0.26871622579560389</v>
      </c>
      <c r="V62" s="547">
        <f>S62*VLOOKUP(VLOOKUP($E62,$E$41:$AU$50,15,FALSE),'Energy Cost &amp; Emissions'!$B$8:$L$29,10,FALSE)</f>
        <v>6.8901596357847147E-3</v>
      </c>
      <c r="W62" s="548">
        <f>V62/'Syncarb to rMgO Data'!$H$27</f>
        <v>2.4804574688824972E-2</v>
      </c>
      <c r="X62" s="545" t="s">
        <v>440</v>
      </c>
      <c r="Y62" s="546">
        <f>IF(X62="Y",'Lime Energy &amp; CO2 Data'!L48,0)</f>
        <v>4173.4269944437992</v>
      </c>
      <c r="Z62" s="547">
        <f>Y62/'Lime Energy &amp; CO2 Data'!$H$27</f>
        <v>13939.24616144229</v>
      </c>
      <c r="AA62" s="547">
        <f>Y62*VLOOKUP(VLOOKUP($E62,$E$41:$AU$50,21,FALSE),'Energy Cost &amp; Emissions'!$B$8:$L$29,5,FALSE)</f>
        <v>0.16276365278330818</v>
      </c>
      <c r="AB62" s="547">
        <f>Y62*VLOOKUP(VLOOKUP($E62,$E$41:$AU$50,21,FALSE),'Energy Cost &amp; Emissions'!$B$8:$L$29,10,FALSE)</f>
        <v>4.1734269944437991E-3</v>
      </c>
      <c r="AC62" s="548">
        <f>AB62/'Lime Energy &amp; CO2 Data'!$H$27</f>
        <v>1.3939246161442291E-2</v>
      </c>
      <c r="AD62" s="545" t="s">
        <v>435</v>
      </c>
      <c r="AE62" s="542"/>
      <c r="AF62" s="543"/>
      <c r="AG62" s="543"/>
      <c r="AH62" s="543"/>
      <c r="AI62" s="544"/>
      <c r="AJ62" s="545" t="s">
        <v>440</v>
      </c>
      <c r="AK62" s="542"/>
      <c r="AL62" s="543"/>
      <c r="AM62" s="543"/>
      <c r="AN62" s="543"/>
      <c r="AO62" s="544"/>
      <c r="AP62" s="545" t="s">
        <v>435</v>
      </c>
      <c r="AQ62" s="546">
        <f>IF(AP62="Y",'Syncarb to rMgO Data'!$L$48,0)</f>
        <v>0</v>
      </c>
      <c r="AR62" s="547">
        <f>AQ62/'Syncarb to rMgO Data'!$H$27</f>
        <v>0</v>
      </c>
      <c r="AS62" s="547">
        <f>AQ62*VLOOKUP(VLOOKUP($E62,$E$41:$AU$50,39,FALSE),'Energy Cost &amp; Emissions'!$B$8:$L$29,5,FALSE)</f>
        <v>0</v>
      </c>
      <c r="AT62" s="547">
        <f>AQ62*VLOOKUP(VLOOKUP($E62,$E$41:$AU$50,39,FALSE),'Energy Cost &amp; Emissions'!$B$8:$L$29,10,FALSE)</f>
        <v>0</v>
      </c>
      <c r="AU62" s="548">
        <f>AT62/'Syncarb to rMgO Data'!$H$27</f>
        <v>0</v>
      </c>
      <c r="AV62" s="549">
        <f t="shared" ref="AV62:AV68" si="18">(IF($AV$7&gt;0,$AV$7*$G62,0)+IF($AV$8&gt;0,$AV$8*$M62,0)+IF($AV$9&gt;0,$AV$9*$S62,0)+IF($AV$10&gt;0,$AV$10*$Y62,0)+IF($AV$11&gt;0,$AV$11*$AE62,0)+IF($AV$12&gt;0,$AV$12*$AK62,0)+IF($AV$19&gt;0,$AV$19*$AQ62,0))/100</f>
        <v>283.09619726838537</v>
      </c>
      <c r="AW62" s="547">
        <f t="shared" ref="AW62:AW68" si="19">(IF($AV$7&gt;0,$AV$7*$H62,0)+IF($AV$8&gt;0,$AV$8*$N62,0)+IF($AV$9&gt;0,$AV$9*$T62,0)+IF($AV$10&gt;0,$AV$10*$Z62,0)+IF($AV$11&gt;0,$AV$11*$AF62,0)+IF($AV$12&gt;0,$AV$12*$AL62,0)+IF($AV$19&gt;0,$AV$19*$AR62,0))/100</f>
        <v>556.30631016618736</v>
      </c>
      <c r="AX62" s="547">
        <f t="shared" si="12"/>
        <v>8.9579716934670289E-3</v>
      </c>
      <c r="AY62" s="547">
        <f t="shared" si="13"/>
        <v>2.0462920197268385E-2</v>
      </c>
      <c r="AZ62" s="550">
        <f t="shared" si="14"/>
        <v>3.2844024710166182E-2</v>
      </c>
      <c r="BA62" s="549">
        <f>(IF($BA$7&gt;0,$BA$7*$G62,0)+IF($BA$8&gt;0,$BA$8*$M62,0)+IF($BA$9&gt;0,$BA$9*$S62,0)+IF($BA$10&gt;0,$BA$10*$Y62,0)+IF($BA$11&gt;0,$BA$11*$AE62,0)+IF($BA$12&gt;0,$BA$12*$AK62,0)+IF($BA$19&gt;0,$BA$19*$AQ62,0))/100</f>
        <v>890.15755993631853</v>
      </c>
      <c r="BB62" s="547">
        <f>(IF($BA$7&gt;0,$BA$7*$H62,0)+IF($BA$8&gt;0,$BA$8*$N62,0)+IF($BA$9&gt;0,$BA$9*$T62,0)+IF($BA$10&gt;0,$BA$10*$Z62,0)+IF($BA$11&gt;0,$BA$11*$AF62,0)+IF($BA$12&gt;0,$BA$12*$AL62,0)+IF($BA$19&gt;0,$BA$19*$AR62,0))/100</f>
        <v>2940.0872157707472</v>
      </c>
      <c r="BC62" s="547">
        <f>(IF($BA$7&gt;0,$BA$7*$I62,0)+IF($BA$8&gt;0,$BA$8*$O62,0)+IF($BA$9&gt;0,$BA$9*$U62,0)+IF($BA$10&gt;0,$BA$10*$AA62,0)+IF($BA$11&gt;0,$BA$11*$AG62,0)+IF($BA$12&gt;0,$BA$12*$AM62,0)+IF($BA$19&gt;0,$BA$19*$AS62,0))/100</f>
        <v>3.3525984837516433E-2</v>
      </c>
      <c r="BD62" s="547">
        <f>(IF($BA$7&gt;0,$BA$7*$J62,0)+IF($BA$8&gt;0,$BA$8*$P62,0)+IF($BA$9&gt;0,$BA$9*$V62,0)+IF($BA$10&gt;0,$BA$10*$AB62,0)+IF($BA$11&gt;0,$BA$11*$AH62,0)+IF($BA$12&gt;0,$BA$12*$AN62,0)+IF($BA$19&gt;0,$BA$19*$AT62,0))/100</f>
        <v>1.2421485559936319E-2</v>
      </c>
      <c r="BE62" s="548">
        <f>(IF($BA$7&gt;0,$BA$7*$K62,0)+IF($BA$8&gt;0,$BA$8*$Q62,0)+IF($BA$9&gt;0,$BA$9*$W62,0)+IF($BA$10&gt;0,$BA$10*$AC62,0)+IF($BA$11&gt;0,$BA$11*$AI62,0)+IF($BA$12&gt;0,$BA$12*$AO62,0)+IF($BA$19&gt;0,$BA$19*$AU62,0))/100</f>
        <v>2.1390212015770748E-2</v>
      </c>
      <c r="BF62" s="549">
        <f>(IF($BF$7&gt;0,$BF$7*$G62,0)+IF($BF$8&gt;0,$BF$8*$M62,0)+IF($BF$9&gt;0,$BF$9*$S62,0)+IF($BF$10&gt;0,$BF$10*$Y62,0)+IF($BF$11&gt;0,$BF$11*$AE62,0)+IF($BF$12&gt;0,$BF$12*$AK62,0)+IF($BF$19&gt;0,$BF$19*$AQ62,0))/100</f>
        <v>626.01404916656986</v>
      </c>
      <c r="BG62" s="547">
        <f>(IF($BF$7&gt;0,$BF$7*$H62,0)+IF($BF$8&gt;0,$BF$8*$N62,0)+IF($BF$9&gt;0,$BF$9*$T62,0)+IF($BF$10&gt;0,$BF$10*$Z62,0)+IF($BF$11&gt;0,$BF$11*$AF62,0)+IF($BF$12&gt;0,$BF$12*$AL62,0)+IF($BF$19&gt;0,$BF$19*$AR62,0))/100</f>
        <v>2090.8869242163437</v>
      </c>
      <c r="BH62" s="547">
        <f>(IF($BF$7&gt;0,$BF$7*$I62,0)+IF($BF$8&gt;0,$BF$8*$O62,0)+IF($BF$9&gt;0,$BF$9*$U62,0)+IF($BF$10&gt;0,$BF$10*$AA62,0)+IF($BF$11&gt;0,$BF$11*$AG62,0)+IF($BF$12&gt;0,$BF$12*$AM62,0)+IF($BF$19&gt;0,$BF$19*$AS62,0))/100</f>
        <v>2.4414547917496227E-2</v>
      </c>
      <c r="BI62" s="547">
        <f>(IF($BF$7&gt;0,$BF$7*$J62,0)+IF($BF$8&gt;0,$BF$8*$P62,0)+IF($BF$9&gt;0,$BF$9*$V62,0)+IF($BF$10&gt;0,$BF$10*$AB62,0)+IF($BF$11&gt;0,$BF$11*$AH62,0)+IF($BF$12&gt;0,$BF$12*$AN62,0)+IF($BF$19&gt;0,$BF$19*$AT62,0))/100</f>
        <v>6.2601404916656984E-4</v>
      </c>
      <c r="BJ62" s="548">
        <f>(IF($BF$7&gt;0,$BF$7*$K62,0)+IF($BF$8&gt;0,$BF$8*$Q62,0)+IF($BF$9&gt;0,$BF$9*$W62,0)+IF($BF$10&gt;0,$BF$10*$AC62,0)+IF($BF$11&gt;0,$BF$11*$AI62,0)+IF($BF$12&gt;0,$BF$12*$AO62,0)+IF($BF$19&gt;0,$BF$19*$AU62,0))/100</f>
        <v>2.0908869242163438E-3</v>
      </c>
      <c r="BK62" s="549">
        <f>(IF($BK$7&gt;0,$BK$7*$G62,0)+IF($BK$8&gt;0,$BK$8*$M62,0)+IF($BK$9&gt;0,$BK$9*$S62,0)+IF($BK$10&gt;0,$BK$10*$Y62,0)+IF($BK$11&gt;0,$BK$11*$AE62,0)+IF($BK$12&gt;0,$BK$12*$AK62,0)+IF($BK$19&gt;0,$BK$19*$AQ62,0))/100</f>
        <v>890.15755993631853</v>
      </c>
      <c r="BL62" s="547">
        <f>(IF($BK$7&gt;0,$BK$7*$H62,0)+IF($BK$8&gt;0,$BK$8*$N62,0)+IF($BK$9&gt;0,$BK$9*$T62,0)+IF($BK$10&gt;0,$BK$10*$Z62,0)+IF($BK$11&gt;0,$BK$11*$AF62,0)+IF($BK$12&gt;0,$BK$12*$AL62,0)+IF($BK$19&gt;0,$BK$19*$AR62,0))/100</f>
        <v>2940.0872157707472</v>
      </c>
      <c r="BM62" s="547">
        <f>(IF($BK$7&gt;0,$BK$7*$I62,0)+IF($BK$8&gt;0,$BK$8*$O62,0)+IF($BK$9&gt;0,$BK$9*$U62,0)+IF($BK$10&gt;0,$BK$10*$AA62,0)+IF($BK$11&gt;0,$BK$11*$AG62,0)+IF($BK$12&gt;0,$BK$12*$AM62,0)+IF($BK$19&gt;0,$BK$19*$AS62,0))/100</f>
        <v>3.3525984837516433E-2</v>
      </c>
      <c r="BN62" s="547">
        <f>(IF($BK$7&gt;0,$BK$7*$J62,0)+IF($BK$8&gt;0,$BK$8*$P62,0)+IF($BK$9&gt;0,$BK$9*$V62,0)+IF($BK$10&gt;0,$BK$10*$AB62,0)+IF($BK$11&gt;0,$BK$11*$AH62,0)+IF($BK$12&gt;0,$BK$12*$AN62,0)+IF($BK$19&gt;0,$BK$19*$AT62,0))/100</f>
        <v>1.2421485559936319E-2</v>
      </c>
      <c r="BO62" s="548">
        <f>(IF($BK$7&gt;0,$BK$7*$K62,0)+IF($BK$8&gt;0,$BK$8*$Q62,0)+IF($BK$9&gt;0,$BK$9*$W62,0)+IF($BK$10&gt;0,$BK$10*$AC62,0)+IF($BK$11&gt;0,$BK$11*$AI62,0)+IF($BK$12&gt;0,$BK$12*$AO62,0)+IF($BK$19&gt;0,$BK$19*$AU62,0))/100</f>
        <v>2.1390212015770748E-2</v>
      </c>
      <c r="BP62" s="546">
        <f>(IF($BP$7&gt;0,$BP$7*$G62,0)+IF($BP$8&gt;0,$BP$8*$M62,0)+IF($BP$9&gt;0,$BP$9*$S62,0)+IF($BP$10&gt;0,$BP$10*$Y62,0)+IF($BP$11&gt;0,$BP$11*$AE62,0)+IF($BP$12&gt;0,$BP$12*$AK62,0)+IF($BP$19&gt;0,$BP$19*$AQ62,0))/100</f>
        <v>890.15755993631853</v>
      </c>
      <c r="BQ62" s="547">
        <f>(IF($BP$7&gt;0,$BP$7*$H62,0)+IF($BP$8&gt;0,$BP$8*$N62,0)+IF($BP$9&gt;0,$BP$9*$T62,0)+IF($BP$10&gt;0,$BP$10*$Z62,0)+IF($BP$11&gt;0,$BP$11*$AF62,0)+IF($BP$12&gt;0,$BP$12*$AL62,0)+IF($BP$19&gt;0,$BP$19*$AR62,0))/100</f>
        <v>2940.0872157707472</v>
      </c>
      <c r="BR62" s="547">
        <f>(IF($BP$7&gt;0,$BP$7*$I62,0)+IF($BP$8&gt;0,$BP$8*$O62,0)+IF($BP$9&gt;0,$BP$9*$U62,0)+IF($BP$10&gt;0,$BP$10*$AA62,0)+IF($BP$11&gt;0,$BP$11*$AG62,0)+IF($BP$12&gt;0,$BP$12*$AM62,0)+IF($BP$19&gt;0,$BP$19*$AS62,0))/100</f>
        <v>3.3525984837516433E-2</v>
      </c>
      <c r="BS62" s="547">
        <f>(IF($BP$7&gt;0,$BP$7*$J62,0)+IF($BP$8&gt;0,$BP$8*$P62,0)+IF($BP$9&gt;0,$BP$9*$V62,0)+IF($BP$10&gt;0,$BP$10*$AB62,0)+IF($BP$11&gt;0,$BP$11*$AH62,0)+IF($BP$12&gt;0,$BP$12*$AN62,0)+IF($BP$19&gt;0,$BP$19*$AT62,0))/100</f>
        <v>1.2421485559936319E-2</v>
      </c>
      <c r="BT62" s="548">
        <f>(IF($BP$7&gt;0,$BP$7*$K62,0)+IF($BP$8&gt;0,$BP$8*$Q62,0)+IF($BP$9&gt;0,$BP$9*$W62,0)+IF($BP$10&gt;0,$BP$10*$AC62,0)+IF($BP$11&gt;0,$BP$11*$AI62,0)+IF($BP$12&gt;0,$BP$12*$AO62,0)+IF($BP$19&gt;0,$BP$19*$AU62,0))/100</f>
        <v>2.1390212015770748E-2</v>
      </c>
    </row>
    <row r="63" spans="1:72" s="27" customFormat="1" x14ac:dyDescent="0.25">
      <c r="A63" s="205"/>
      <c r="B63" s="721"/>
      <c r="C63" s="722"/>
      <c r="D63" s="723"/>
      <c r="E63" s="177" t="s">
        <v>455</v>
      </c>
      <c r="F63" s="374" t="s">
        <v>435</v>
      </c>
      <c r="G63" s="551"/>
      <c r="H63" s="543"/>
      <c r="I63" s="543"/>
      <c r="J63" s="543"/>
      <c r="K63" s="552"/>
      <c r="L63" s="506" t="s">
        <v>435</v>
      </c>
      <c r="M63" s="549"/>
      <c r="N63" s="547"/>
      <c r="O63" s="547"/>
      <c r="P63" s="547"/>
      <c r="Q63" s="553"/>
      <c r="R63" s="506" t="s">
        <v>435</v>
      </c>
      <c r="S63" s="549"/>
      <c r="T63" s="547"/>
      <c r="U63" s="547"/>
      <c r="V63" s="547"/>
      <c r="W63" s="553"/>
      <c r="X63" s="506" t="s">
        <v>435</v>
      </c>
      <c r="Y63" s="549"/>
      <c r="Z63" s="547"/>
      <c r="AA63" s="547"/>
      <c r="AB63" s="547"/>
      <c r="AC63" s="553"/>
      <c r="AD63" s="506" t="s">
        <v>440</v>
      </c>
      <c r="AE63" s="554">
        <f>IF($AD63="Y",'SCM Data'!$C17,0)</f>
        <v>100</v>
      </c>
      <c r="AF63" s="547">
        <f>IF($AD63="Y",'SCM Data'!D17,0)</f>
        <v>300</v>
      </c>
      <c r="AG63" s="547">
        <f>AE63*VLOOKUP(VLOOKUP($E63,$E$41:$AU$50,27,FALSE),'Energy Cost &amp; Emissions'!$B$8:$L$29,5,FALSE)</f>
        <v>3.0000000000000001E-3</v>
      </c>
      <c r="AH63" s="547">
        <f>AE63*VLOOKUP(VLOOKUP($E63,$E$41:$AU$50,27,FALSE),'Energy Cost &amp; Emissions'!$B$8:$L$29,10,FALSE)</f>
        <v>8.8199999999999997E-3</v>
      </c>
      <c r="AI63" s="553">
        <f>AH63*'SCM Data'!$C$22</f>
        <v>2.6459999999999997E-2</v>
      </c>
      <c r="AJ63" s="506" t="s">
        <v>440</v>
      </c>
      <c r="AK63" s="554">
        <f>IF($AD63="y",'SCM Data'!$C17,0)</f>
        <v>100</v>
      </c>
      <c r="AL63" s="547">
        <f>IF($AD63="Y",'SCM Data'!$E17,0)</f>
        <v>225</v>
      </c>
      <c r="AM63" s="547">
        <f>AK63*VLOOKUP(VLOOKUP($E63,$E$41:$AU$50,33,FALSE),'Energy Cost &amp; Emissions'!$B$8:$L$29,5,FALSE)</f>
        <v>3.0000000000000001E-3</v>
      </c>
      <c r="AN63" s="547">
        <f>AK63*VLOOKUP(VLOOKUP($E63,$E$41:$AU$50,33,FALSE),'Energy Cost &amp; Emissions'!$B$8:$L$29,10,FALSE)</f>
        <v>8.8199999999999997E-3</v>
      </c>
      <c r="AO63" s="553">
        <f>AN63*'SCM Data'!$C$23</f>
        <v>1.9844999999999998E-2</v>
      </c>
      <c r="AP63" s="506" t="s">
        <v>435</v>
      </c>
      <c r="AQ63" s="549"/>
      <c r="AR63" s="547"/>
      <c r="AS63" s="547"/>
      <c r="AT63" s="547"/>
      <c r="AU63" s="553"/>
      <c r="AV63" s="549">
        <f t="shared" si="18"/>
        <v>6</v>
      </c>
      <c r="AW63" s="547">
        <f t="shared" si="19"/>
        <v>15.75</v>
      </c>
      <c r="AX63" s="547">
        <f t="shared" si="12"/>
        <v>1.8000000000000001E-4</v>
      </c>
      <c r="AY63" s="547">
        <f t="shared" si="13"/>
        <v>5.2919999999999996E-4</v>
      </c>
      <c r="AZ63" s="550">
        <f t="shared" si="14"/>
        <v>1.3891499999999998E-3</v>
      </c>
      <c r="BA63" s="549">
        <f>(IF($BA$7&gt;0,$BA$7*$G63,0)+IF($BA$8&gt;0,$BA$8*$M63,0)+IF($BA$9&gt;0,$BA$9*$S63,0)+IF($BA$10&gt;0,$BA$10*$Y63,0)+IF($BA$11&gt;0,$BA$11*$AE63,0)+IF($BA$12&gt;0,$BA$12*$AK63,0)+IF($BA$19&gt;0,$BA$19*$AQ63,0))/100</f>
        <v>0</v>
      </c>
      <c r="BB63" s="547">
        <f>(IF($BA$7&gt;0,$BA$7*$H63,0)+IF($BA$8&gt;0,$BA$8*$N63,0)+IF($BA$9&gt;0,$BA$9*$T63,0)+IF($BA$10&gt;0,$BA$10*$Z63,0)+IF($BA$11&gt;0,$BA$11*$AF63,0)+IF($BA$12&gt;0,$BA$12*$AL63,0)+IF($BA$19&gt;0,$BA$19*$AR63,0))/100</f>
        <v>0</v>
      </c>
      <c r="BC63" s="547">
        <f>(IF($BA$7&gt;0,$BA$7*$I63,0)+IF($BA$8&gt;0,$BA$8*$O63,0)+IF($BA$9&gt;0,$BA$9*$U63,0)+IF($BA$10&gt;0,$BA$10*$AA63,0)+IF($BA$11&gt;0,$BA$11*$AG63,0)+IF($BA$12&gt;0,$BA$12*$AM63,0)+IF($BA$19&gt;0,$BA$19*$AS63,0))/100</f>
        <v>0</v>
      </c>
      <c r="BD63" s="547">
        <f>(IF($BA$7&gt;0,$BA$7*$J63,0)+IF($BA$8&gt;0,$BA$8*$P63,0)+IF($BA$9&gt;0,$BA$9*$V63,0)+IF($BA$10&gt;0,$BA$10*$AB63,0)+IF($BA$11&gt;0,$BA$11*$AH63,0)+IF($BA$12&gt;0,$BA$12*$AN63,0)+IF($BA$19&gt;0,$BA$19*$AT63,0))/100</f>
        <v>0</v>
      </c>
      <c r="BE63" s="553">
        <f>(IF($BA$7&gt;0,$BA$7*$K63,0)+IF($BA$8&gt;0,$BA$8*$Q63,0)+IF($BA$9&gt;0,$BA$9*$W63,0)+IF($BA$10&gt;0,$BA$10*$AC63,0)+IF($BA$11&gt;0,$BA$11*$AI63,0)+IF($BA$12&gt;0,$BA$12*$AO63,0)+IF($BA$19&gt;0,$BA$19*$AU63,0))/100</f>
        <v>0</v>
      </c>
      <c r="BF63" s="549">
        <f>(IF($BF$7&gt;0,$BF$7*$G63,0)+IF($BF$8&gt;0,$BF$8*$M63,0)+IF($BF$9&gt;0,$BF$9*$S63,0)+IF($BF$10&gt;0,$BF$10*$Y63,0)+IF($BF$11&gt;0,$BF$11*$AE63,0)+IF($BF$12&gt;0,$BF$12*$AK63,0)+IF($BF$19&gt;0,$BF$19*$AQ63,0))/100</f>
        <v>0</v>
      </c>
      <c r="BG63" s="547">
        <f>(IF($BF$7&gt;0,$BF$7*$H63,0)+IF($BF$8&gt;0,$BF$8*$N63,0)+IF($BF$9&gt;0,$BF$9*$T63,0)+IF($BF$10&gt;0,$BF$10*$Z63,0)+IF($BF$11&gt;0,$BF$11*$AF63,0)+IF($BF$12&gt;0,$BF$12*$AL63,0)+IF($BF$19&gt;0,$BF$19*$AR63,0))/100</f>
        <v>0</v>
      </c>
      <c r="BH63" s="547">
        <f>(IF($BF$7&gt;0,$BF$7*$I63,0)+IF($BF$8&gt;0,$BF$8*$O63,0)+IF($BF$9&gt;0,$BF$9*$U63,0)+IF($BF$10&gt;0,$BF$10*$AA63,0)+IF($BF$11&gt;0,$BF$11*$AG63,0)+IF($BF$12&gt;0,$BF$12*$AM63,0)+IF($BF$19&gt;0,$BF$19*$AS63,0))/100</f>
        <v>0</v>
      </c>
      <c r="BI63" s="547">
        <f>(IF($BF$7&gt;0,$BF$7*$J63,0)+IF($BF$8&gt;0,$BF$8*$P63,0)+IF($BF$9&gt;0,$BF$9*$V63,0)+IF($BF$10&gt;0,$BF$10*$AB63,0)+IF($BF$11&gt;0,$BF$11*$AH63,0)+IF($BF$12&gt;0,$BF$12*$AN63,0)+IF($BF$19&gt;0,$BF$19*$AT63,0))/100</f>
        <v>0</v>
      </c>
      <c r="BJ63" s="553">
        <f>(IF($BF$7&gt;0,$BF$7*$K63,0)+IF($BF$8&gt;0,$BF$8*$Q63,0)+IF($BF$9&gt;0,$BF$9*$W63,0)+IF($BF$10&gt;0,$BF$10*$AC63,0)+IF($BF$11&gt;0,$BF$11*$AI63,0)+IF($BF$12&gt;0,$BF$12*$AO63,0)+IF($BF$19&gt;0,$BF$19*$AU63,0))/100</f>
        <v>0</v>
      </c>
      <c r="BK63" s="549">
        <f>(IF($BK$7&gt;0,$BK$7*$G63,0)+IF($BK$8&gt;0,$BK$8*$M63,0)+IF($BK$9&gt;0,$BK$9*$S63,0)+IF($BK$10&gt;0,$BK$10*$Y63,0)+IF($BK$11&gt;0,$BK$11*$AE63,0)+IF($BK$12&gt;0,$BK$12*$AK63,0)+IF($BK$19&gt;0,$BK$19*$AQ63,0))/100</f>
        <v>0</v>
      </c>
      <c r="BL63" s="547">
        <f>(IF($BK$7&gt;0,$BK$7*$H63,0)+IF($BK$8&gt;0,$BK$8*$N63,0)+IF($BK$9&gt;0,$BK$9*$T63,0)+IF($BK$10&gt;0,$BK$10*$Z63,0)+IF($BK$11&gt;0,$BK$11*$AF63,0)+IF($BK$12&gt;0,$BK$12*$AL63,0)+IF($BK$19&gt;0,$BK$19*$AR63,0))/100</f>
        <v>0</v>
      </c>
      <c r="BM63" s="547">
        <f>(IF($BK$7&gt;0,$BK$7*$I63,0)+IF($BK$8&gt;0,$BK$8*$O63,0)+IF($BK$9&gt;0,$BK$9*$U63,0)+IF($BK$10&gt;0,$BK$10*$AA63,0)+IF($BK$11&gt;0,$BK$11*$AG63,0)+IF($BK$12&gt;0,$BK$12*$AM63,0)+IF($BK$19&gt;0,$BK$19*$AS63,0))/100</f>
        <v>0</v>
      </c>
      <c r="BN63" s="547">
        <f>(IF($BK$7&gt;0,$BK$7*$J63,0)+IF($BK$8&gt;0,$BK$8*$P63,0)+IF($BK$9&gt;0,$BK$9*$V63,0)+IF($BK$10&gt;0,$BK$10*$AB63,0)+IF($BK$11&gt;0,$BK$11*$AH63,0)+IF($BK$12&gt;0,$BK$12*$AN63,0)+IF($BK$19&gt;0,$BK$19*$AT63,0))/100</f>
        <v>0</v>
      </c>
      <c r="BO63" s="553">
        <f>(IF($BK$7&gt;0,$BK$7*$K63,0)+IF($BK$8&gt;0,$BK$8*$Q63,0)+IF($BK$9&gt;0,$BK$9*$W63,0)+IF($BK$10&gt;0,$BK$10*$AC63,0)+IF($BK$11&gt;0,$BK$11*$AI63,0)+IF($BK$12&gt;0,$BK$12*$AO63,0)+IF($BK$19&gt;0,$BK$19*$AU63,0))/100</f>
        <v>0</v>
      </c>
      <c r="BP63" s="549">
        <f>(IF($BP$7&gt;0,$BP$7*$G63,0)+IF($BP$8&gt;0,$BP$8*$M63,0)+IF($BP$9&gt;0,$BP$9*$S63,0)+IF($BP$10&gt;0,$BP$10*$Y63,0)+IF($BP$11&gt;0,$BP$11*$AE63,0)+IF($BP$12&gt;0,$BP$12*$AK63,0)+IF($BP$19&gt;0,$BP$19*$AQ63,0))/100</f>
        <v>0</v>
      </c>
      <c r="BQ63" s="547">
        <f>(IF($BP$7&gt;0,$BP$7*$H63,0)+IF($BP$8&gt;0,$BP$8*$N63,0)+IF($BP$9&gt;0,$BP$9*$T63,0)+IF($BP$10&gt;0,$BP$10*$Z63,0)+IF($BP$11&gt;0,$BP$11*$AF63,0)+IF($BP$12&gt;0,$BP$12*$AL63,0)+IF($BP$19&gt;0,$BP$19*$AR63,0))/100</f>
        <v>0</v>
      </c>
      <c r="BR63" s="547">
        <f>(IF($BP$7&gt;0,$BP$7*$I63,0)+IF($BP$8&gt;0,$BP$8*$O63,0)+IF($BP$9&gt;0,$BP$9*$U63,0)+IF($BP$10&gt;0,$BP$10*$AA63,0)+IF($BP$11&gt;0,$BP$11*$AG63,0)+IF($BP$12&gt;0,$BP$12*$AM63,0)+IF($BP$19&gt;0,$BP$19*$AS63,0))/100</f>
        <v>0</v>
      </c>
      <c r="BS63" s="547">
        <f>(IF($BP$7&gt;0,$BP$7*$J63,0)+IF($BP$8&gt;0,$BP$8*$P63,0)+IF($BP$9&gt;0,$BP$9*$V63,0)+IF($BP$10&gt;0,$BP$10*$AB63,0)+IF($BP$11&gt;0,$BP$11*$AH63,0)+IF($BP$12&gt;0,$BP$12*$AN63,0)+IF($BP$19&gt;0,$BP$19*$AT63,0))/100</f>
        <v>0</v>
      </c>
      <c r="BT63" s="553">
        <f>(IF($BP$7&gt;0,$BP$7*$K63,0)+IF($BP$8&gt;0,$BP$8*$Q63,0)+IF($BP$9&gt;0,$BP$9*$W63,0)+IF($BP$10&gt;0,$BP$10*$AC63,0)+IF($BP$11&gt;0,$BP$11*$AI63,0)+IF($BP$12&gt;0,$BP$12*$AO63,0)+IF($BP$19&gt;0,$BP$19*$AU63,0))/100</f>
        <v>0</v>
      </c>
    </row>
    <row r="64" spans="1:72" s="27" customFormat="1" x14ac:dyDescent="0.25">
      <c r="A64" s="205"/>
      <c r="B64" s="721"/>
      <c r="C64" s="722"/>
      <c r="D64" s="723"/>
      <c r="E64" s="177" t="s">
        <v>58</v>
      </c>
      <c r="F64" s="374" t="s">
        <v>440</v>
      </c>
      <c r="G64" s="551">
        <f>IF(F64="Y",'P C Data'!$D27,0)</f>
        <v>34.19</v>
      </c>
      <c r="H64" s="543">
        <f>G64/'P C Data'!$M$68</f>
        <v>54.703999999999994</v>
      </c>
      <c r="I64" s="543">
        <f>G64*VLOOKUP(VLOOKUP($E64,$E$41:$AU$50,3,FALSE),'Energy Cost &amp; Emissions'!$B$8:$L$29,5,FALSE)</f>
        <v>6.8380000000000003E-4</v>
      </c>
      <c r="J64" s="543">
        <f>G64*VLOOKUP(VLOOKUP($E64,$E$41:$AU$50,3,FALSE),'Energy Cost &amp; Emissions'!$B$8:$L$29,10,FALSE)</f>
        <v>8.5474999999999995E-3</v>
      </c>
      <c r="K64" s="552">
        <f>J64/'P C Data'!$M$68</f>
        <v>1.3675999999999999E-2</v>
      </c>
      <c r="L64" s="506" t="s">
        <v>440</v>
      </c>
      <c r="M64" s="555">
        <f>IF(L64="Y",'P C Data'!$D27,0)</f>
        <v>34.19</v>
      </c>
      <c r="N64" s="556">
        <f>M64/'Syncarb to rMgO Data'!$E$33</f>
        <v>31.315585094296754</v>
      </c>
      <c r="O64" s="556">
        <f>M64*VLOOKUP(VLOOKUP($E64,$E$41:$AU$50,9,FALSE),'Energy Cost &amp; Emissions'!$B$8:$L$29,5,FALSE)</f>
        <v>6.8380000000000003E-4</v>
      </c>
      <c r="P64" s="556">
        <f>M64*VLOOKUP(VLOOKUP($E64,$E$41:$AU$50,9,FALSE),'Energy Cost &amp; Emissions'!$B$8:$L$29,10,FALSE)</f>
        <v>8.5474999999999995E-3</v>
      </c>
      <c r="Q64" s="557">
        <f>P64/'Syncarb to rMgO Data'!$H$27</f>
        <v>3.0770999999999996E-2</v>
      </c>
      <c r="R64" s="506" t="s">
        <v>440</v>
      </c>
      <c r="S64" s="555">
        <f>IF(R64="Y",'P C Data'!$D27,0)</f>
        <v>34.19</v>
      </c>
      <c r="T64" s="556">
        <f>S64/'Syncarb to rMgO Data'!$E$33</f>
        <v>31.315585094296754</v>
      </c>
      <c r="U64" s="556">
        <f>S64*VLOOKUP(VLOOKUP($E64,$E$41:$AU$50,15,FALSE),'Energy Cost &amp; Emissions'!$B$8:$L$29,5,FALSE)</f>
        <v>6.8380000000000003E-4</v>
      </c>
      <c r="V64" s="556">
        <f>S64*VLOOKUP(VLOOKUP($E64,$E$41:$AU$50,15,FALSE),'Energy Cost &amp; Emissions'!$B$8:$L$29,10,FALSE)</f>
        <v>8.5474999999999995E-3</v>
      </c>
      <c r="W64" s="557">
        <f>V64/'Syncarb to rMgO Data'!$H$27</f>
        <v>3.0770999999999996E-2</v>
      </c>
      <c r="X64" s="506" t="s">
        <v>440</v>
      </c>
      <c r="Y64" s="555">
        <f>IF(X64="Y",'P C Data'!$D27,0)</f>
        <v>34.19</v>
      </c>
      <c r="Z64" s="556">
        <f>Y64/'Syncarb to rMgO Data'!$E$33</f>
        <v>31.315585094296754</v>
      </c>
      <c r="AA64" s="556">
        <f>Y64*VLOOKUP(VLOOKUP($E64,$E$41:$AU$50,21,FALSE),'Energy Cost &amp; Emissions'!$B$8:$L$29,5,FALSE)</f>
        <v>6.8380000000000003E-4</v>
      </c>
      <c r="AB64" s="556">
        <f>Y64*VLOOKUP(VLOOKUP($E64,$E$41:$AU$50,21,FALSE),'Energy Cost &amp; Emissions'!$B$8:$L$29,10,FALSE)</f>
        <v>8.5474999999999995E-3</v>
      </c>
      <c r="AC64" s="557">
        <f>AB64/'Lime Energy &amp; CO2 Data'!$H$27</f>
        <v>2.8548650000000002E-2</v>
      </c>
      <c r="AD64" s="506" t="s">
        <v>435</v>
      </c>
      <c r="AE64" s="551"/>
      <c r="AF64" s="543"/>
      <c r="AG64" s="543"/>
      <c r="AH64" s="543"/>
      <c r="AI64" s="552"/>
      <c r="AJ64" s="506" t="s">
        <v>440</v>
      </c>
      <c r="AK64" s="551"/>
      <c r="AL64" s="543"/>
      <c r="AM64" s="543"/>
      <c r="AN64" s="543"/>
      <c r="AO64" s="552"/>
      <c r="AP64" s="506" t="s">
        <v>435</v>
      </c>
      <c r="AQ64" s="555">
        <f>IF(AP64="Y",'P C Data'!$D27,0)</f>
        <v>0</v>
      </c>
      <c r="AR64" s="556">
        <f>AQ64/'Syncarb to rMgO Data'!$E$33</f>
        <v>0</v>
      </c>
      <c r="AS64" s="556">
        <f>AQ64*VLOOKUP(VLOOKUP($E64,$E$41:$AU$50,39,FALSE),'Energy Cost &amp; Emissions'!$B$8:$L$29,5,FALSE)</f>
        <v>0</v>
      </c>
      <c r="AT64" s="556">
        <f>AQ64*VLOOKUP(VLOOKUP($E64,$E$41:$AU$50,39,FALSE),'Energy Cost &amp; Emissions'!$B$8:$L$29,10,FALSE)</f>
        <v>0</v>
      </c>
      <c r="AU64" s="557">
        <f>AT64/'Syncarb to rMgO Data'!$H$27</f>
        <v>0</v>
      </c>
      <c r="AV64" s="549">
        <f t="shared" si="18"/>
        <v>2.6497249999999997</v>
      </c>
      <c r="AW64" s="547">
        <f t="shared" si="19"/>
        <v>4.0641468882072251</v>
      </c>
      <c r="AX64" s="547">
        <f t="shared" si="12"/>
        <v>5.2994500000000009E-5</v>
      </c>
      <c r="AY64" s="547">
        <f t="shared" si="13"/>
        <v>6.6243124999999998E-4</v>
      </c>
      <c r="AZ64" s="550">
        <f t="shared" si="14"/>
        <v>1.1881024999999999E-3</v>
      </c>
      <c r="BA64" s="549">
        <f>(IF($BA$7&gt;0,$BA$7*$G64,0)+IF($BA$8&gt;0,$BA$8*$M64,0)+IF($BA$9&gt;0,$BA$9*$S64,0)+IF($BA$10&gt;0,$BA$10*$Y64,0)+IF($BA$11&gt;0,$BA$11*$AE64,0)+IF($BA$12&gt;0,$BA$12*$AK64,0)+IF($BA$19&gt;0,$BA$19*$AQ64,0))/100</f>
        <v>5.1284999999999989</v>
      </c>
      <c r="BB64" s="556">
        <f>(IF($BA$7&gt;0,$BA$7*$H64,0)+IF($BA$8&gt;0,$BA$8*$N64,0)+IF($BA$9&gt;0,$BA$9*$T64,0)+IF($BA$10&gt;0,$BA$10*$Z64,0)+IF($BA$11&gt;0,$BA$11*$AF64,0)+IF($BA$12&gt;0,$BA$12*$AL64,0)+IF($BA$19&gt;0,$BA$19*$AR64,0))/100</f>
        <v>5.632874360372643</v>
      </c>
      <c r="BC64" s="556">
        <f>(IF($BA$7&gt;0,$BA$7*$I64,0)+IF($BA$8&gt;0,$BA$8*$O64,0)+IF($BA$9&gt;0,$BA$9*$U64,0)+IF($BA$10&gt;0,$BA$10*$AA64,0)+IF($BA$11&gt;0,$BA$11*$AG64,0)+IF($BA$12&gt;0,$BA$12*$AM64,0)+IF($BA$19&gt;0,$BA$19*$AS64,0))/100</f>
        <v>1.0257E-4</v>
      </c>
      <c r="BD64" s="556">
        <f>(IF($BA$7&gt;0,$BA$7*$J64,0)+IF($BA$8&gt;0,$BA$8*$P64,0)+IF($BA$9&gt;0,$BA$9*$V64,0)+IF($BA$10&gt;0,$BA$10*$AB64,0)+IF($BA$11&gt;0,$BA$11*$AH64,0)+IF($BA$12&gt;0,$BA$12*$AN64,0)+IF($BA$19&gt;0,$BA$19*$AT64,0))/100</f>
        <v>1.2821250000000001E-3</v>
      </c>
      <c r="BE64" s="557">
        <f>(IF($BA$7&gt;0,$BA$7*$K64,0)+IF($BA$8&gt;0,$BA$8*$Q64,0)+IF($BA$9&gt;0,$BA$9*$W64,0)+IF($BA$10&gt;0,$BA$10*$AC64,0)+IF($BA$11&gt;0,$BA$11*$AI64,0)+IF($BA$12&gt;0,$BA$12*$AO64,0)+IF($BA$19&gt;0,$BA$19*$AU64,0))/100</f>
        <v>3.9318499999999998E-3</v>
      </c>
      <c r="BF64" s="549">
        <f>(IF($BF$7&gt;0,$BF$7*$G64,0)+IF($BF$8&gt;0,$BF$8*$M64,0)+IF($BF$9&gt;0,$BF$9*$S64,0)+IF($BF$10&gt;0,$BF$10*$Y64,0)+IF($BF$11&gt;0,$BF$11*$AE64,0)+IF($BF$12&gt;0,$BF$12*$AK64,0)+IF($BF$19&gt;0,$BF$19*$AQ64,0))/100</f>
        <v>5.1284999999999989</v>
      </c>
      <c r="BG64" s="556">
        <f>(IF($BF$7&gt;0,$BF$7*$H64,0)+IF($BF$8&gt;0,$BF$8*$N64,0)+IF($BF$9&gt;0,$BF$9*$T64,0)+IF($BF$10&gt;0,$BF$10*$Z64,0)+IF($BF$11&gt;0,$BF$11*$AF64,0)+IF($BF$12&gt;0,$BF$12*$AL64,0)+IF($BF$19&gt;0,$BF$19*$AR64,0))/100</f>
        <v>4.6973377641445131</v>
      </c>
      <c r="BH64" s="556">
        <f>(IF($BF$7&gt;0,$BF$7*$I64,0)+IF($BF$8&gt;0,$BF$8*$O64,0)+IF($BF$9&gt;0,$BF$9*$U64,0)+IF($BF$10&gt;0,$BF$10*$AA64,0)+IF($BF$11&gt;0,$BF$11*$AG64,0)+IF($BF$12&gt;0,$BF$12*$AM64,0)+IF($BF$19&gt;0,$BF$19*$AS64,0))/100</f>
        <v>1.0257E-4</v>
      </c>
      <c r="BI64" s="556">
        <f>(IF($BF$7&gt;0,$BF$7*$J64,0)+IF($BF$8&gt;0,$BF$8*$P64,0)+IF($BF$9&gt;0,$BF$9*$V64,0)+IF($BF$10&gt;0,$BF$10*$AB64,0)+IF($BF$11&gt;0,$BF$11*$AH64,0)+IF($BF$12&gt;0,$BF$12*$AN64,0)+IF($BF$19&gt;0,$BF$19*$AT64,0))/100</f>
        <v>1.2821250000000001E-3</v>
      </c>
      <c r="BJ64" s="557">
        <f>(IF($BF$7&gt;0,$BF$7*$K64,0)+IF($BF$8&gt;0,$BF$8*$Q64,0)+IF($BF$9&gt;0,$BF$9*$W64,0)+IF($BF$10&gt;0,$BF$10*$AC64,0)+IF($BF$11&gt;0,$BF$11*$AI64,0)+IF($BF$12&gt;0,$BF$12*$AO64,0)+IF($BF$19&gt;0,$BF$19*$AU64,0))/100</f>
        <v>4.2822975000000006E-3</v>
      </c>
      <c r="BK64" s="549">
        <f>(IF($BK$7&gt;0,$BK$7*$G64,0)+IF($BK$8&gt;0,$BK$8*$M64,0)+IF($BK$9&gt;0,$BK$9*$S64,0)+IF($BK$10&gt;0,$BK$10*$Y64,0)+IF($BK$11&gt;0,$BK$11*$AE64,0)+IF($BK$12&gt;0,$BK$12*$AK64,0)+IF($BK$19&gt;0,$BK$19*$AQ64,0))/100</f>
        <v>5.1284999999999989</v>
      </c>
      <c r="BL64" s="556">
        <f>(IF($BK$7&gt;0,$BK$7*$H64,0)+IF($BK$8&gt;0,$BK$8*$N64,0)+IF($BK$9&gt;0,$BK$9*$T64,0)+IF($BK$10&gt;0,$BK$10*$Z64,0)+IF($BK$11&gt;0,$BK$11*$AF64,0)+IF($BK$12&gt;0,$BK$12*$AL64,0)+IF($BK$19&gt;0,$BK$19*$AR64,0))/100</f>
        <v>5.632874360372643</v>
      </c>
      <c r="BM64" s="556">
        <f>(IF($BK$7&gt;0,$BK$7*$I64,0)+IF($BK$8&gt;0,$BK$8*$O64,0)+IF($BK$9&gt;0,$BK$9*$U64,0)+IF($BK$10&gt;0,$BK$10*$AA64,0)+IF($BK$11&gt;0,$BK$11*$AG64,0)+IF($BK$12&gt;0,$BK$12*$AM64,0)+IF($BK$19&gt;0,$BK$19*$AS64,0))/100</f>
        <v>1.0257E-4</v>
      </c>
      <c r="BN64" s="556">
        <f>(IF($BK$7&gt;0,$BK$7*$J64,0)+IF($BK$8&gt;0,$BK$8*$P64,0)+IF($BK$9&gt;0,$BK$9*$V64,0)+IF($BK$10&gt;0,$BK$10*$AB64,0)+IF($BK$11&gt;0,$BK$11*$AH64,0)+IF($BK$12&gt;0,$BK$12*$AN64,0)+IF($BK$19&gt;0,$BK$19*$AT64,0))/100</f>
        <v>1.2821250000000001E-3</v>
      </c>
      <c r="BO64" s="557">
        <f>(IF($BK$7&gt;0,$BK$7*$K64,0)+IF($BK$8&gt;0,$BK$8*$Q64,0)+IF($BK$9&gt;0,$BK$9*$W64,0)+IF($BK$10&gt;0,$BK$10*$AC64,0)+IF($BK$11&gt;0,$BK$11*$AI64,0)+IF($BK$12&gt;0,$BK$12*$AO64,0)+IF($BK$19&gt;0,$BK$19*$AU64,0))/100</f>
        <v>3.9318499999999998E-3</v>
      </c>
      <c r="BP64" s="555">
        <f>(IF($BP$7&gt;0,$BP$7*$G64,0)+IF($BP$8&gt;0,$BP$8*$M64,0)+IF($BP$9&gt;0,$BP$9*$S64,0)+IF($BP$10&gt;0,$BP$10*$Y64,0)+IF($BP$11&gt;0,$BP$11*$AE64,0)+IF($BP$12&gt;0,$BP$12*$AK64,0)+IF($BP$19&gt;0,$BP$19*$AQ64,0))/100</f>
        <v>5.1284999999999989</v>
      </c>
      <c r="BQ64" s="556">
        <f>(IF($BP$7&gt;0,$BP$7*$H64,0)+IF($BP$8&gt;0,$BP$8*$N64,0)+IF($BP$9&gt;0,$BP$9*$T64,0)+IF($BP$10&gt;0,$BP$10*$Z64,0)+IF($BP$11&gt;0,$BP$11*$AF64,0)+IF($BP$12&gt;0,$BP$12*$AL64,0)+IF($BP$19&gt;0,$BP$19*$AR64,0))/100</f>
        <v>5.632874360372643</v>
      </c>
      <c r="BR64" s="556">
        <f>(IF($BP$7&gt;0,$BP$7*$I64,0)+IF($BP$8&gt;0,$BP$8*$O64,0)+IF($BP$9&gt;0,$BP$9*$U64,0)+IF($BP$10&gt;0,$BP$10*$AA64,0)+IF($BP$11&gt;0,$BP$11*$AG64,0)+IF($BP$12&gt;0,$BP$12*$AM64,0)+IF($BP$19&gt;0,$BP$19*$AS64,0))/100</f>
        <v>1.0257E-4</v>
      </c>
      <c r="BS64" s="556">
        <f>(IF($BP$7&gt;0,$BP$7*$J64,0)+IF($BP$8&gt;0,$BP$8*$P64,0)+IF($BP$9&gt;0,$BP$9*$V64,0)+IF($BP$10&gt;0,$BP$10*$AB64,0)+IF($BP$11&gt;0,$BP$11*$AH64,0)+IF($BP$12&gt;0,$BP$12*$AN64,0)+IF($BP$19&gt;0,$BP$19*$AT64,0))/100</f>
        <v>1.2821250000000001E-3</v>
      </c>
      <c r="BT64" s="557">
        <f>(IF($BP$7&gt;0,$BP$7*$K64,0)+IF($BP$8&gt;0,$BP$8*$Q64,0)+IF($BP$9&gt;0,$BP$9*$W64,0)+IF($BP$10&gt;0,$BP$10*$AC64,0)+IF($BP$11&gt;0,$BP$11*$AI64,0)+IF($BP$12&gt;0,$BP$12*$AO64,0)+IF($BP$19&gt;0,$BP$19*$AU64,0))/100</f>
        <v>3.9318499999999998E-3</v>
      </c>
    </row>
    <row r="65" spans="1:72" s="27" customFormat="1" x14ac:dyDescent="0.25">
      <c r="A65" s="205"/>
      <c r="B65" s="721"/>
      <c r="C65" s="722"/>
      <c r="D65" s="723"/>
      <c r="E65" s="339" t="s">
        <v>362</v>
      </c>
      <c r="F65" s="374" t="s">
        <v>440</v>
      </c>
      <c r="G65" s="551"/>
      <c r="H65" s="558"/>
      <c r="I65" s="558">
        <f>'Energy &amp; Emissions Comparison'!$D$94*J65</f>
        <v>7.4700000000000001E-3</v>
      </c>
      <c r="J65" s="558">
        <f>IF(F65="Y",'P C Data'!$D$71,0)</f>
        <v>0.498</v>
      </c>
      <c r="K65" s="552">
        <f>J65/'P C Data'!$M$68</f>
        <v>0.79679999999999995</v>
      </c>
      <c r="L65" s="506" t="s">
        <v>440</v>
      </c>
      <c r="M65" s="555"/>
      <c r="N65" s="559"/>
      <c r="O65" s="558">
        <f>'Energy &amp; Emissions Comparison'!$D$94*P65</f>
        <v>1.6376829570826094E-2</v>
      </c>
      <c r="P65" s="556">
        <f>IF(L65="Y",'Syncarb to rMgO Data'!$E$33,0)</f>
        <v>1.091788638055073</v>
      </c>
      <c r="Q65" s="557">
        <f>P65/'Syncarb to rMgO Data'!$H$27</f>
        <v>3.9304390969982625</v>
      </c>
      <c r="R65" s="506" t="s">
        <v>440</v>
      </c>
      <c r="S65" s="555"/>
      <c r="T65" s="559"/>
      <c r="U65" s="558">
        <f>'Energy &amp; Emissions Comparison'!$D$94*V65</f>
        <v>1.6376829570826094E-2</v>
      </c>
      <c r="V65" s="556">
        <f>IF(R65="Y",'Syncarb to rMgO Data'!$E$33,0)</f>
        <v>1.091788638055073</v>
      </c>
      <c r="W65" s="557">
        <f>V65/'Syncarb to rMgO Data'!$H$27</f>
        <v>3.9304390969982625</v>
      </c>
      <c r="X65" s="506" t="s">
        <v>440</v>
      </c>
      <c r="Y65" s="555"/>
      <c r="Z65" s="559"/>
      <c r="AA65" s="558">
        <f>'Energy &amp; Emissions Comparison'!$D$94*AB65</f>
        <v>1.1771576319543509E-2</v>
      </c>
      <c r="AB65" s="556">
        <f>IF(X65="Y",'Lime Energy &amp; CO2 Data'!$E$32,0)</f>
        <v>0.78477175463623394</v>
      </c>
      <c r="AC65" s="557">
        <f>AB65/'Lime Energy &amp; CO2 Data'!$H$27</f>
        <v>2.6211376604850214</v>
      </c>
      <c r="AD65" s="506" t="s">
        <v>435</v>
      </c>
      <c r="AE65" s="551"/>
      <c r="AF65" s="558"/>
      <c r="AG65" s="558"/>
      <c r="AH65" s="558"/>
      <c r="AI65" s="552"/>
      <c r="AJ65" s="506" t="s">
        <v>440</v>
      </c>
      <c r="AK65" s="551"/>
      <c r="AL65" s="558"/>
      <c r="AM65" s="558"/>
      <c r="AN65" s="558"/>
      <c r="AO65" s="552"/>
      <c r="AP65" s="506" t="s">
        <v>435</v>
      </c>
      <c r="AQ65" s="555"/>
      <c r="AR65" s="559"/>
      <c r="AS65" s="558">
        <f>'Energy &amp; Emissions Comparison'!$D$94*AT65</f>
        <v>0</v>
      </c>
      <c r="AT65" s="556">
        <f>IF(AP65="Y",'Syncarb to rMgO Data'!$E$33,0)</f>
        <v>0</v>
      </c>
      <c r="AU65" s="557">
        <f>AT65/'Syncarb to rMgO Data'!$H$27</f>
        <v>0</v>
      </c>
      <c r="AV65" s="549">
        <f t="shared" si="18"/>
        <v>0</v>
      </c>
      <c r="AW65" s="547">
        <f t="shared" si="19"/>
        <v>0</v>
      </c>
      <c r="AX65" s="547">
        <f t="shared" si="12"/>
        <v>6.4572622178119573E-4</v>
      </c>
      <c r="AY65" s="547">
        <f t="shared" si="13"/>
        <v>4.304841478541304E-2</v>
      </c>
      <c r="AZ65" s="550">
        <f t="shared" si="14"/>
        <v>8.5254293227486955E-2</v>
      </c>
      <c r="BA65" s="549">
        <f>(IF($BA$7&gt;0,$BA$7*$G65,0)+IF($BA$8&gt;0,$BA$8*$M65,0)+IF($BA$9&gt;0,$BA$9*$S65,0)+IF($BA$10&gt;0,$BA$10*$Y65,0)+IF($BA$11&gt;0,$BA$11*$AE65,0)+IF($BA$12&gt;0,$BA$12*$AK65,0)+IF($BA$19&gt;0,$BA$19*$AQ65,0))/100</f>
        <v>0</v>
      </c>
      <c r="BB65" s="559">
        <f>(IF($BA$7&gt;0,$BA$7*$H65,0)+IF($BA$8&gt;0,$BA$8*$N65,0)+IF($BA$9&gt;0,$BA$9*$T65,0)+IF($BA$10&gt;0,$BA$10*$Z65,0)+IF($BA$11&gt;0,$BA$11*$AF65,0)+IF($BA$12&gt;0,$BA$12*$AL65,0)+IF($BA$19&gt;0,$BA$19*$AR65,0))/100</f>
        <v>0</v>
      </c>
      <c r="BC65" s="558">
        <f>(IF($BA$7&gt;0,$BA$7*$I65,0)+IF($BA$8&gt;0,$BA$8*$O65,0)+IF($BA$9&gt;0,$BA$9*$U65,0)+IF($BA$10&gt;0,$BA$10*$AA65,0)+IF($BA$11&gt;0,$BA$11*$AG65,0)+IF($BA$12&gt;0,$BA$12*$AM65,0)+IF($BA$19&gt;0,$BA$19*$AS65,0))/100</f>
        <v>2.1002512527908703E-3</v>
      </c>
      <c r="BD65" s="556">
        <f>(IF($BA$7&gt;0,$BA$7*$J65,0)+IF($BA$8&gt;0,$BA$8*$P65,0)+IF($BA$9&gt;0,$BA$9*$V65,0)+IF($BA$10&gt;0,$BA$10*$AB65,0)+IF($BA$11&gt;0,$BA$11*$AH65,0)+IF($BA$12&gt;0,$BA$12*$AN65,0)+IF($BA$19&gt;0,$BA$19*$AT65,0))/100</f>
        <v>0.14001675018605803</v>
      </c>
      <c r="BE65" s="557">
        <f>(IF($BA$7&gt;0,$BA$7*$K65,0)+IF($BA$8&gt;0,$BA$8*$Q65,0)+IF($BA$9&gt;0,$BA$9*$W65,0)+IF($BA$10&gt;0,$BA$10*$AC65,0)+IF($BA$11&gt;0,$BA$11*$AI65,0)+IF($BA$12&gt;0,$BA$12*$AO65,0)+IF($BA$19&gt;0,$BA$19*$AU65,0))/100</f>
        <v>0.46422030066980891</v>
      </c>
      <c r="BF65" s="549">
        <f>(IF($BF$7&gt;0,$BF$7*$G65,0)+IF($BF$8&gt;0,$BF$8*$M65,0)+IF($BF$9&gt;0,$BF$9*$S65,0)+IF($BF$10&gt;0,$BF$10*$Y65,0)+IF($BF$11&gt;0,$BF$11*$AE65,0)+IF($BF$12&gt;0,$BF$12*$AK65,0)+IF($BF$19&gt;0,$BF$19*$AQ65,0))/100</f>
        <v>0</v>
      </c>
      <c r="BG65" s="559">
        <f>(IF($BF$7&gt;0,$BF$7*$H65,0)+IF($BF$8&gt;0,$BF$8*$N65,0)+IF($BF$9&gt;0,$BF$9*$T65,0)+IF($BF$10&gt;0,$BF$10*$Z65,0)+IF($BF$11&gt;0,$BF$11*$AF65,0)+IF($BF$12&gt;0,$BF$12*$AL65,0)+IF($BF$19&gt;0,$BF$19*$AR65,0))/100</f>
        <v>0</v>
      </c>
      <c r="BH65" s="558">
        <f>(IF($BF$7&gt;0,$BF$7*$I65,0)+IF($BF$8&gt;0,$BF$8*$O65,0)+IF($BF$9&gt;0,$BF$9*$U65,0)+IF($BF$10&gt;0,$BF$10*$AA65,0)+IF($BF$11&gt;0,$BF$11*$AG65,0)+IF($BF$12&gt;0,$BF$12*$AM65,0)+IF($BF$19&gt;0,$BF$19*$AS65,0))/100</f>
        <v>1.7657364479315262E-3</v>
      </c>
      <c r="BI65" s="556">
        <f>(IF($BF$7&gt;0,$BF$7*$J65,0)+IF($BF$8&gt;0,$BF$8*$P65,0)+IF($BF$9&gt;0,$BF$9*$V65,0)+IF($BF$10&gt;0,$BF$10*$AB65,0)+IF($BF$11&gt;0,$BF$11*$AH65,0)+IF($BF$12&gt;0,$BF$12*$AN65,0)+IF($BF$19&gt;0,$BF$19*$AT65,0))/100</f>
        <v>0.1177157631954351</v>
      </c>
      <c r="BJ65" s="557">
        <f>(IF($BF$7&gt;0,$BF$7*$K65,0)+IF($BF$8&gt;0,$BF$8*$Q65,0)+IF($BF$9&gt;0,$BF$9*$W65,0)+IF($BF$10&gt;0,$BF$10*$AC65,0)+IF($BF$11&gt;0,$BF$11*$AI65,0)+IF($BF$12&gt;0,$BF$12*$AO65,0)+IF($BF$19&gt;0,$BF$19*$AU65,0))/100</f>
        <v>0.39317064907275323</v>
      </c>
      <c r="BK65" s="549">
        <f>(IF($BK$7&gt;0,$BK$7*$G65,0)+IF($BK$8&gt;0,$BK$8*$M65,0)+IF($BK$9&gt;0,$BK$9*$S65,0)+IF($BK$10&gt;0,$BK$10*$Y65,0)+IF($BK$11&gt;0,$BK$11*$AE65,0)+IF($BK$12&gt;0,$BK$12*$AK65,0)+IF($BK$19&gt;0,$BK$19*$AQ65,0))/100</f>
        <v>0</v>
      </c>
      <c r="BL65" s="559">
        <f>(IF($BK$7&gt;0,$BK$7*$H65,0)+IF($BK$8&gt;0,$BK$8*$N65,0)+IF($BK$9&gt;0,$BK$9*$T65,0)+IF($BK$10&gt;0,$BK$10*$Z65,0)+IF($BK$11&gt;0,$BK$11*$AF65,0)+IF($BK$12&gt;0,$BK$12*$AL65,0)+IF($BK$19&gt;0,$BK$19*$AR65,0))/100</f>
        <v>0</v>
      </c>
      <c r="BM65" s="558">
        <f>(IF($BK$7&gt;0,$BK$7*$I65,0)+IF($BK$8&gt;0,$BK$8*$O65,0)+IF($BK$9&gt;0,$BK$9*$U65,0)+IF($BK$10&gt;0,$BK$10*$AA65,0)+IF($BK$11&gt;0,$BK$11*$AG65,0)+IF($BK$12&gt;0,$BK$12*$AM65,0)+IF($BK$19&gt;0,$BK$19*$AS65,0))/100</f>
        <v>2.1002512527908703E-3</v>
      </c>
      <c r="BN65" s="556">
        <f>(IF($BK$7&gt;0,$BK$7*$J65,0)+IF($BK$8&gt;0,$BK$8*$P65,0)+IF($BK$9&gt;0,$BK$9*$V65,0)+IF($BK$10&gt;0,$BK$10*$AB65,0)+IF($BK$11&gt;0,$BK$11*$AH65,0)+IF($BK$12&gt;0,$BK$12*$AN65,0)+IF($BK$19&gt;0,$BK$19*$AT65,0))/100</f>
        <v>0.14001675018605803</v>
      </c>
      <c r="BO65" s="557">
        <f>(IF($BK$7&gt;0,$BK$7*$K65,0)+IF($BK$8&gt;0,$BK$8*$Q65,0)+IF($BK$9&gt;0,$BK$9*$W65,0)+IF($BK$10&gt;0,$BK$10*$AC65,0)+IF($BK$11&gt;0,$BK$11*$AI65,0)+IF($BK$12&gt;0,$BK$12*$AO65,0)+IF($BK$19&gt;0,$BK$19*$AU65,0))/100</f>
        <v>0.46422030066980891</v>
      </c>
      <c r="BP65" s="555">
        <f>(IF($BP$7&gt;0,$BP$7*$G65,0)+IF($BP$8&gt;0,$BP$8*$M65,0)+IF($BP$9&gt;0,$BP$9*$S65,0)+IF($BP$10&gt;0,$BP$10*$Y65,0)+IF($BP$11&gt;0,$BP$11*$AE65,0)+IF($BP$12&gt;0,$BP$12*$AK65,0)+IF($BP$19&gt;0,$BP$19*$AQ65,0))/100</f>
        <v>0</v>
      </c>
      <c r="BQ65" s="559">
        <f>(IF($BP$7&gt;0,$BP$7*$H65,0)+IF($BP$8&gt;0,$BP$8*$N65,0)+IF($BP$9&gt;0,$BP$9*$T65,0)+IF($BP$10&gt;0,$BP$10*$Z65,0)+IF($BP$11&gt;0,$BP$11*$AF65,0)+IF($BP$12&gt;0,$BP$12*$AL65,0)+IF($BP$19&gt;0,$BP$19*$AR65,0))/100</f>
        <v>0</v>
      </c>
      <c r="BR65" s="558">
        <f>(IF($BP$7&gt;0,$BP$7*$I65,0)+IF($BP$8&gt;0,$BP$8*$O65,0)+IF($BP$9&gt;0,$BP$9*$U65,0)+IF($BP$10&gt;0,$BP$10*$AA65,0)+IF($BP$11&gt;0,$BP$11*$AG65,0)+IF($BP$12&gt;0,$BP$12*$AM65,0)+IF($BP$19&gt;0,$BP$19*$AS65,0))/100</f>
        <v>2.1002512527908703E-3</v>
      </c>
      <c r="BS65" s="556">
        <f>(IF($BP$7&gt;0,$BP$7*$J65,0)+IF($BP$8&gt;0,$BP$8*$P65,0)+IF($BP$9&gt;0,$BP$9*$V65,0)+IF($BP$10&gt;0,$BP$10*$AB65,0)+IF($BP$11&gt;0,$BP$11*$AH65,0)+IF($BP$12&gt;0,$BP$12*$AN65,0)+IF($BP$19&gt;0,$BP$19*$AT65,0))/100</f>
        <v>0.14001675018605803</v>
      </c>
      <c r="BT65" s="557">
        <f>(IF($BP$7&gt;0,$BP$7*$K65,0)+IF($BP$8&gt;0,$BP$8*$Q65,0)+IF($BP$9&gt;0,$BP$9*$W65,0)+IF($BP$10&gt;0,$BP$10*$AC65,0)+IF($BP$11&gt;0,$BP$11*$AI65,0)+IF($BP$12&gt;0,$BP$12*$AO65,0)+IF($BP$19&gt;0,$BP$19*$AU65,0))/100</f>
        <v>0.46422030066980891</v>
      </c>
    </row>
    <row r="66" spans="1:72" s="27" customFormat="1" ht="18.75" thickBot="1" x14ac:dyDescent="0.3">
      <c r="A66" s="205"/>
      <c r="B66" s="718"/>
      <c r="C66" s="719"/>
      <c r="D66" s="720"/>
      <c r="E66" s="183" t="s">
        <v>197</v>
      </c>
      <c r="F66" s="375" t="s">
        <v>441</v>
      </c>
      <c r="G66" s="560">
        <f>SUM(G62:G65)</f>
        <v>3340.19</v>
      </c>
      <c r="H66" s="561">
        <f>SUM(H62:H65)</f>
        <v>5344.3040000000001</v>
      </c>
      <c r="I66" s="561">
        <f>SUM(I62:I65)</f>
        <v>0.10733380000000001</v>
      </c>
      <c r="J66" s="561">
        <f>SUM(J62:J65)</f>
        <v>0.79813669999999992</v>
      </c>
      <c r="K66" s="562">
        <f>SUM(K62:K65)</f>
        <v>1.2770187200000001</v>
      </c>
      <c r="L66" s="520" t="s">
        <v>441</v>
      </c>
      <c r="M66" s="563">
        <f>SUM(M62:M65)</f>
        <v>6924.3496357847143</v>
      </c>
      <c r="N66" s="564">
        <f>SUM(N62:N65)</f>
        <v>24835.890273919267</v>
      </c>
      <c r="O66" s="564">
        <f>SUM(O62:O65)</f>
        <v>0.28577685536642999</v>
      </c>
      <c r="P66" s="564">
        <f>SUM(P62:P65)</f>
        <v>1.1072262976908578</v>
      </c>
      <c r="Q66" s="565">
        <f>SUM(Q62:Q65)</f>
        <v>3.9860146716870877</v>
      </c>
      <c r="R66" s="520" t="s">
        <v>441</v>
      </c>
      <c r="S66" s="563">
        <f>SUM(S62:S65)</f>
        <v>6924.3496357847143</v>
      </c>
      <c r="T66" s="564">
        <f>SUM(T62:T65)</f>
        <v>24835.890273919267</v>
      </c>
      <c r="U66" s="564">
        <f>SUM(U62:U65)</f>
        <v>0.28577685536642999</v>
      </c>
      <c r="V66" s="564">
        <f>SUM(V62:V65)</f>
        <v>1.1072262976908578</v>
      </c>
      <c r="W66" s="565">
        <f>SUM(W62:W65)</f>
        <v>3.9860146716870877</v>
      </c>
      <c r="X66" s="520" t="s">
        <v>441</v>
      </c>
      <c r="Y66" s="563">
        <f>SUM(Y62:Y65)</f>
        <v>4207.6169944437988</v>
      </c>
      <c r="Z66" s="564">
        <f>SUM(Z62:Z65)</f>
        <v>13970.561746536587</v>
      </c>
      <c r="AA66" s="564">
        <f>SUM(AA62:AA65)</f>
        <v>0.1752190291028517</v>
      </c>
      <c r="AB66" s="564">
        <f>SUM(AB62:AB65)</f>
        <v>0.79749268163067777</v>
      </c>
      <c r="AC66" s="565">
        <f>SUM(AC62:AC65)</f>
        <v>2.6636255566464637</v>
      </c>
      <c r="AD66" s="520" t="s">
        <v>441</v>
      </c>
      <c r="AE66" s="560">
        <f>SUM(AE62:AE65)</f>
        <v>100</v>
      </c>
      <c r="AF66" s="561">
        <f>SUM(AF62:AF65)</f>
        <v>300</v>
      </c>
      <c r="AG66" s="561">
        <f>SUM(AG62:AG65)</f>
        <v>3.0000000000000001E-3</v>
      </c>
      <c r="AH66" s="561">
        <f>SUM(AH62:AH65)</f>
        <v>8.8199999999999997E-3</v>
      </c>
      <c r="AI66" s="562">
        <f>SUM(AI62:AI65)</f>
        <v>2.6459999999999997E-2</v>
      </c>
      <c r="AJ66" s="520" t="s">
        <v>441</v>
      </c>
      <c r="AK66" s="560">
        <f>SUM(AK62:AK65)</f>
        <v>100</v>
      </c>
      <c r="AL66" s="561">
        <f>SUM(AL62:AL65)</f>
        <v>225</v>
      </c>
      <c r="AM66" s="561">
        <f>SUM(AM62:AM65)</f>
        <v>3.0000000000000001E-3</v>
      </c>
      <c r="AN66" s="561">
        <f>SUM(AN62:AN65)</f>
        <v>8.8199999999999997E-3</v>
      </c>
      <c r="AO66" s="562">
        <f>SUM(AO62:AO65)</f>
        <v>1.9844999999999998E-2</v>
      </c>
      <c r="AP66" s="520" t="s">
        <v>441</v>
      </c>
      <c r="AQ66" s="563">
        <f>SUM(AQ62:AQ65)</f>
        <v>0</v>
      </c>
      <c r="AR66" s="564">
        <f t="shared" ref="AR66:AU66" si="20">SUM(AR62:AR65)</f>
        <v>0</v>
      </c>
      <c r="AS66" s="564">
        <f t="shared" si="20"/>
        <v>0</v>
      </c>
      <c r="AT66" s="564">
        <f t="shared" si="20"/>
        <v>0</v>
      </c>
      <c r="AU66" s="565">
        <f t="shared" si="20"/>
        <v>0</v>
      </c>
      <c r="AV66" s="560">
        <f t="shared" ref="AV66:BT66" si="21">SUM(AV62:AV65)</f>
        <v>291.74592226838536</v>
      </c>
      <c r="AW66" s="561">
        <f t="shared" si="21"/>
        <v>576.12045705439459</v>
      </c>
      <c r="AX66" s="561">
        <f t="shared" si="21"/>
        <v>9.836692415248224E-3</v>
      </c>
      <c r="AY66" s="561">
        <f t="shared" si="21"/>
        <v>6.470296623268143E-2</v>
      </c>
      <c r="AZ66" s="562">
        <f t="shared" si="21"/>
        <v>0.12067557043765315</v>
      </c>
      <c r="BA66" s="566">
        <f t="shared" si="21"/>
        <v>895.28605993631857</v>
      </c>
      <c r="BB66" s="566">
        <f t="shared" si="21"/>
        <v>2945.7200901311198</v>
      </c>
      <c r="BC66" s="566">
        <f t="shared" si="21"/>
        <v>3.5728806090307305E-2</v>
      </c>
      <c r="BD66" s="566">
        <f t="shared" si="21"/>
        <v>0.15372036074599435</v>
      </c>
      <c r="BE66" s="566">
        <f t="shared" si="21"/>
        <v>0.48954236268557966</v>
      </c>
      <c r="BF66" s="566">
        <f t="shared" si="21"/>
        <v>631.14254916656989</v>
      </c>
      <c r="BG66" s="567">
        <f t="shared" si="21"/>
        <v>2095.584261980488</v>
      </c>
      <c r="BH66" s="567">
        <f t="shared" si="21"/>
        <v>2.6282854365427752E-2</v>
      </c>
      <c r="BI66" s="567">
        <f t="shared" si="21"/>
        <v>0.11962390224460168</v>
      </c>
      <c r="BJ66" s="568">
        <f t="shared" si="21"/>
        <v>0.39954383349696959</v>
      </c>
      <c r="BK66" s="566">
        <f t="shared" si="21"/>
        <v>895.28605993631857</v>
      </c>
      <c r="BL66" s="567">
        <f t="shared" si="21"/>
        <v>2945.7200901311198</v>
      </c>
      <c r="BM66" s="567">
        <f t="shared" si="21"/>
        <v>3.5728806090307305E-2</v>
      </c>
      <c r="BN66" s="567">
        <f t="shared" si="21"/>
        <v>0.15372036074599435</v>
      </c>
      <c r="BO66" s="568">
        <f t="shared" si="21"/>
        <v>0.48954236268557966</v>
      </c>
      <c r="BP66" s="566">
        <f t="shared" si="21"/>
        <v>895.28605993631857</v>
      </c>
      <c r="BQ66" s="567">
        <f t="shared" si="21"/>
        <v>2945.7200901311198</v>
      </c>
      <c r="BR66" s="567">
        <f t="shared" si="21"/>
        <v>3.5728806090307305E-2</v>
      </c>
      <c r="BS66" s="567">
        <f t="shared" si="21"/>
        <v>0.15372036074599435</v>
      </c>
      <c r="BT66" s="568">
        <f t="shared" si="21"/>
        <v>0.48954236268557966</v>
      </c>
    </row>
    <row r="67" spans="1:72" s="27" customFormat="1" x14ac:dyDescent="0.25">
      <c r="A67" s="205"/>
      <c r="B67" s="745" t="s">
        <v>195</v>
      </c>
      <c r="C67" s="716"/>
      <c r="D67" s="717"/>
      <c r="E67" s="175" t="s">
        <v>55</v>
      </c>
      <c r="F67" s="374" t="s">
        <v>440</v>
      </c>
      <c r="G67" s="569">
        <f>IF(F67="Y",'P C Data'!$D58,0)</f>
        <v>194.51</v>
      </c>
      <c r="H67" s="570">
        <f>G67/'P C Data'!$M$68</f>
        <v>311.21600000000001</v>
      </c>
      <c r="I67" s="570">
        <f>G67*VLOOKUP(VLOOKUP($E67,$E$41:$AU$50,3,FALSE),'Energy Cost &amp; Emissions'!$B$8:$L$29,5,FALSE)</f>
        <v>3.8902000000000003E-3</v>
      </c>
      <c r="J67" s="570">
        <f>G67*VLOOKUP(VLOOKUP($E67,$E$41:$AU$50,3,FALSE),'Energy Cost &amp; Emissions'!$B$8:$L$29,10,FALSE)</f>
        <v>4.8627499999999997E-2</v>
      </c>
      <c r="K67" s="571">
        <f>J67/'P C Data'!$M$68</f>
        <v>7.7803999999999998E-2</v>
      </c>
      <c r="L67" s="506" t="s">
        <v>440</v>
      </c>
      <c r="M67" s="572">
        <f>IF(L67="y",'P C Data'!$D58,0)</f>
        <v>194.51</v>
      </c>
      <c r="N67" s="573">
        <f>M67/'Syncarb to rMgO Data'!$H$27</f>
        <v>700.23599999999999</v>
      </c>
      <c r="O67" s="574">
        <f>M67*VLOOKUP(VLOOKUP($E67,$E$41:$AU$50,9,FALSE),'Energy Cost &amp; Emissions'!$B$8:$L$29,5,FALSE)</f>
        <v>3.8902000000000003E-3</v>
      </c>
      <c r="P67" s="574">
        <f>M67*VLOOKUP(VLOOKUP($E67,$E$41:$AU$50,9,FALSE),'Energy Cost &amp; Emissions'!$B$8:$L$29,10,FALSE)</f>
        <v>4.8627499999999997E-2</v>
      </c>
      <c r="Q67" s="575">
        <f>P67/'Syncarb to rMgO Data'!$H$27</f>
        <v>0.17505899999999999</v>
      </c>
      <c r="R67" s="506" t="s">
        <v>440</v>
      </c>
      <c r="S67" s="572">
        <f>IF(R67="Y",'P C Data'!$D58,0)</f>
        <v>194.51</v>
      </c>
      <c r="T67" s="573">
        <f>S67/'Syncarb to rMgO Data'!$H$27</f>
        <v>700.23599999999999</v>
      </c>
      <c r="U67" s="574">
        <f>S67*VLOOKUP(VLOOKUP($E67,$E$41:$AU$50,15,FALSE),'Energy Cost &amp; Emissions'!$B$8:$L$29,5,FALSE)</f>
        <v>3.8902000000000003E-3</v>
      </c>
      <c r="V67" s="574">
        <f>S67*VLOOKUP(VLOOKUP($E67,$E$41:$AU$50,15,FALSE),'Energy Cost &amp; Emissions'!$B$8:$L$29,10,FALSE)</f>
        <v>4.8627499999999997E-2</v>
      </c>
      <c r="W67" s="575">
        <f>V67/'Syncarb to rMgO Data'!$H$27</f>
        <v>0.17505899999999999</v>
      </c>
      <c r="X67" s="506" t="s">
        <v>440</v>
      </c>
      <c r="Y67" s="572">
        <f>IF(X67="Y",'P C Data'!$D58,0)</f>
        <v>194.51</v>
      </c>
      <c r="Z67" s="573">
        <f>Y67/'Lime Energy &amp; CO2 Data'!$H$27</f>
        <v>649.66340000000002</v>
      </c>
      <c r="AA67" s="574">
        <f>Y67*VLOOKUP(VLOOKUP($E67,$E$41:$AU$50,21,FALSE),'Energy Cost &amp; Emissions'!$B$8:$L$29,5,FALSE)</f>
        <v>3.8902000000000003E-3</v>
      </c>
      <c r="AB67" s="574">
        <f>Y67*VLOOKUP(VLOOKUP($E67,$E$41:$AU$50,21,FALSE),'Energy Cost &amp; Emissions'!$B$8:$L$29,10,FALSE)</f>
        <v>4.8627499999999997E-2</v>
      </c>
      <c r="AC67" s="575">
        <f>AB67/'Syncarb to rMgO Data'!$H$27</f>
        <v>0.17505899999999999</v>
      </c>
      <c r="AD67" s="506" t="s">
        <v>435</v>
      </c>
      <c r="AE67" s="569">
        <f>IF(AD67="Y",'P C Data'!$D58,0)</f>
        <v>0</v>
      </c>
      <c r="AF67" s="570">
        <f>AE67/'P C Data'!$M$68</f>
        <v>0</v>
      </c>
      <c r="AG67" s="570">
        <f>AE67*VLOOKUP(VLOOKUP($E67,$E$41:$AU$50,3,FALSE),'Energy Cost &amp; Emissions'!$B$8:$L$29,5,FALSE)</f>
        <v>0</v>
      </c>
      <c r="AH67" s="570">
        <f>AE67*VLOOKUP(VLOOKUP($E67,$E$41:$AU$50,3,FALSE),'Energy Cost &amp; Emissions'!$B$8:$L$29,10,FALSE)</f>
        <v>0</v>
      </c>
      <c r="AI67" s="571">
        <f>AH67/'P C Data'!$M$68</f>
        <v>0</v>
      </c>
      <c r="AJ67" s="506" t="s">
        <v>435</v>
      </c>
      <c r="AK67" s="569">
        <f>IF(AJ67="Y",'P C Data'!$D58,0)</f>
        <v>0</v>
      </c>
      <c r="AL67" s="570">
        <f>AK67/'P C Data'!$M$68</f>
        <v>0</v>
      </c>
      <c r="AM67" s="570">
        <f>AK67*VLOOKUP(VLOOKUP($E67,$E$41:$AU$50,3,FALSE),'Energy Cost &amp; Emissions'!$B$8:$L$29,5,FALSE)</f>
        <v>0</v>
      </c>
      <c r="AN67" s="570">
        <f>AK67*VLOOKUP(VLOOKUP($E67,$E$41:$AU$50,3,FALSE),'Energy Cost &amp; Emissions'!$B$8:$L$29,10,FALSE)</f>
        <v>0</v>
      </c>
      <c r="AO67" s="571">
        <f>AN67/'P C Data'!$M$68</f>
        <v>0</v>
      </c>
      <c r="AP67" s="506" t="s">
        <v>435</v>
      </c>
      <c r="AQ67" s="572">
        <f>IF(AP67="Y",'P C Data'!$D58,0)</f>
        <v>0</v>
      </c>
      <c r="AR67" s="573">
        <f>AQ67/'Syncarb to rMgO Data'!$H$27</f>
        <v>0</v>
      </c>
      <c r="AS67" s="574">
        <f>AQ67*VLOOKUP(VLOOKUP($E67,$E$41:$AU$50,39,FALSE),'Energy Cost &amp; Emissions'!$B$8:$L$29,5,FALSE)</f>
        <v>0</v>
      </c>
      <c r="AT67" s="574">
        <f>AQ67*VLOOKUP(VLOOKUP($E67,$E$41:$AU$50,39,FALSE),'Energy Cost &amp; Emissions'!$B$8:$L$29,10,FALSE)</f>
        <v>0</v>
      </c>
      <c r="AU67" s="575">
        <f>AT67/'Syncarb to rMgO Data'!$H$27</f>
        <v>0</v>
      </c>
      <c r="AV67" s="572">
        <f t="shared" si="18"/>
        <v>15.074525</v>
      </c>
      <c r="AW67" s="573">
        <f t="shared" si="19"/>
        <v>27.036890000000003</v>
      </c>
      <c r="AX67" s="574">
        <f t="shared" si="12"/>
        <v>3.0149050000000002E-4</v>
      </c>
      <c r="AY67" s="574">
        <f t="shared" si="13"/>
        <v>3.7686312499999996E-3</v>
      </c>
      <c r="AZ67" s="575">
        <f t="shared" si="14"/>
        <v>6.7592224999999994E-3</v>
      </c>
      <c r="BA67" s="572">
        <f>(IF($BA$7&gt;0,$BA$7*$G67,0)+IF($BA$8&gt;0,$BA$8*$M67,0)+IF($BA$9&gt;0,$BA$9*$S67,0)+IF($BA$10&gt;0,$BA$10*$Y67,0)+IF($BA$11&gt;0,$BA$11*$AE67,0)+IF($BA$12&gt;0,$BA$12*$AK67,0)+IF($BA$19&gt;0,$BA$19*$AQ67,0))/100</f>
        <v>29.176499999999997</v>
      </c>
      <c r="BB67" s="573">
        <f>(IF($BA$7&gt;0,$BA$7*$H67,0)+IF($BA$8&gt;0,$BA$8*$N67,0)+IF($BA$9&gt;0,$BA$9*$T67,0)+IF($BA$10&gt;0,$BA$10*$Z67,0)+IF($BA$11&gt;0,$BA$11*$AF67,0)+IF($BA$12&gt;0,$BA$12*$AL67,0)+IF($BA$19&gt;0,$BA$19*$AR67,0))/100</f>
        <v>89.474599999999995</v>
      </c>
      <c r="BC67" s="574">
        <f>(IF($BA$7&gt;0,$BA$7*$I67,0)+IF($BA$8&gt;0,$BA$8*$O67,0)+IF($BA$9&gt;0,$BA$9*$U67,0)+IF($BA$10&gt;0,$BA$10*$AA67,0)+IF($BA$11&gt;0,$BA$11*$AG67,0)+IF($BA$12&gt;0,$BA$12*$AM67,0)+IF($BA$19&gt;0,$BA$19*$AS67,0))/100</f>
        <v>5.8353000000000007E-4</v>
      </c>
      <c r="BD67" s="574">
        <f>(IF($BA$7&gt;0,$BA$7*$J67,0)+IF($BA$8&gt;0,$BA$8*$P67,0)+IF($BA$9&gt;0,$BA$9*$V67,0)+IF($BA$10&gt;0,$BA$10*$AB67,0)+IF($BA$11&gt;0,$BA$11*$AH67,0)+IF($BA$12&gt;0,$BA$12*$AN67,0)+IF($BA$19&gt;0,$BA$19*$AT67,0))/100</f>
        <v>7.2941249999999994E-3</v>
      </c>
      <c r="BE67" s="575">
        <f>(IF($BA$7&gt;0,$BA$7*$K67,0)+IF($BA$8&gt;0,$BA$8*$Q67,0)+IF($BA$9&gt;0,$BA$9*$W67,0)+IF($BA$10&gt;0,$BA$10*$AC67,0)+IF($BA$11&gt;0,$BA$11*$AI67,0)+IF($BA$12&gt;0,$BA$12*$AO67,0)+IF($BA$19&gt;0,$BA$19*$AU67,0))/100</f>
        <v>2.236865E-2</v>
      </c>
      <c r="BF67" s="572">
        <f>(IF($BF$7&gt;0,$BF$7*$G67,0)+IF($BF$8&gt;0,$BF$8*$M67,0)+IF($BF$9&gt;0,$BF$9*$S67,0)+IF($BF$10&gt;0,$BF$10*$Y67,0)+IF($BF$11&gt;0,$BF$11*$AE67,0)+IF($BF$12&gt;0,$BF$12*$AK67,0)+IF($BF$19&gt;0,$BF$19*$AQ67,0))/100</f>
        <v>29.176499999999997</v>
      </c>
      <c r="BG67" s="573">
        <f>(IF($BF$7&gt;0,$BF$7*$H67,0)+IF($BF$8&gt;0,$BF$8*$N67,0)+IF($BF$9&gt;0,$BF$9*$T67,0)+IF($BF$10&gt;0,$BF$10*$Z67,0)+IF($BF$11&gt;0,$BF$11*$AF67,0)+IF($BF$12&gt;0,$BF$12*$AL67,0)+IF($BF$19&gt;0,$BF$19*$AR67,0))/100</f>
        <v>97.449510000000004</v>
      </c>
      <c r="BH67" s="574">
        <f>(IF($BF$7&gt;0,$BF$7*$I67,0)+IF($BF$8&gt;0,$BF$8*$O67,0)+IF($BF$9&gt;0,$BF$9*$U67,0)+IF($BF$10&gt;0,$BF$10*$AA67,0)+IF($BF$11&gt;0,$BF$11*$AG67,0)+IF($BF$12&gt;0,$BF$12*$AM67,0)+IF($BF$19&gt;0,$BF$19*$AS67,0))/100</f>
        <v>5.8353000000000007E-4</v>
      </c>
      <c r="BI67" s="574">
        <f>(IF($BF$7&gt;0,$BF$7*$J67,0)+IF($BF$8&gt;0,$BF$8*$P67,0)+IF($BF$9&gt;0,$BF$9*$V67,0)+IF($BF$10&gt;0,$BF$10*$AB67,0)+IF($BF$11&gt;0,$BF$11*$AH67,0)+IF($BF$12&gt;0,$BF$12*$AN67,0)+IF($BF$19&gt;0,$BF$19*$AT67,0))/100</f>
        <v>7.2941249999999994E-3</v>
      </c>
      <c r="BJ67" s="575">
        <f>(IF($BF$7&gt;0,$BF$7*$K67,0)+IF($BF$8&gt;0,$BF$8*$Q67,0)+IF($BF$9&gt;0,$BF$9*$W67,0)+IF($BF$10&gt;0,$BF$10*$AC67,0)+IF($BF$11&gt;0,$BF$11*$AI67,0)+IF($BF$12&gt;0,$BF$12*$AO67,0)+IF($BF$19&gt;0,$BF$19*$AU67,0))/100</f>
        <v>2.6258849999999997E-2</v>
      </c>
      <c r="BK67" s="572">
        <f>(IF($BK$7&gt;0,$BK$7*$G67,0)+IF($BK$8&gt;0,$BK$8*$M67,0)+IF($BK$9&gt;0,$BK$9*$S67,0)+IF($BK$10&gt;0,$BK$10*$Y67,0)+IF($BK$11&gt;0,$BK$11*$AE67,0)+IF($BK$12&gt;0,$BK$12*$AK67,0)+IF($BK$19&gt;0,$BK$19*$AQ67,0))/100</f>
        <v>29.176499999999997</v>
      </c>
      <c r="BL67" s="573">
        <f>(IF($BK$7&gt;0,$BK$7*$H67,0)+IF($BK$8&gt;0,$BK$8*$N67,0)+IF($BK$9&gt;0,$BK$9*$T67,0)+IF($BK$10&gt;0,$BK$10*$Z67,0)+IF($BK$11&gt;0,$BK$11*$AF67,0)+IF($BK$12&gt;0,$BK$12*$AL67,0)+IF($BK$19&gt;0,$BK$19*$AR67,0))/100</f>
        <v>89.474599999999995</v>
      </c>
      <c r="BM67" s="574">
        <f>(IF($BK$7&gt;0,$BK$7*$I67,0)+IF($BK$8&gt;0,$BK$8*$O67,0)+IF($BK$9&gt;0,$BK$9*$U67,0)+IF($BK$10&gt;0,$BK$10*$AA67,0)+IF($BK$11&gt;0,$BK$11*$AG67,0)+IF($BK$12&gt;0,$BK$12*$AM67,0)+IF($BK$19&gt;0,$BK$19*$AS67,0))/100</f>
        <v>5.8353000000000007E-4</v>
      </c>
      <c r="BN67" s="574">
        <f>(IF($BK$7&gt;0,$BK$7*$J67,0)+IF($BK$8&gt;0,$BK$8*$P67,0)+IF($BK$9&gt;0,$BK$9*$V67,0)+IF($BK$10&gt;0,$BK$10*$AB67,0)+IF($BK$11&gt;0,$BK$11*$AH67,0)+IF($BK$12&gt;0,$BK$12*$AN67,0)+IF($BK$19&gt;0,$BK$19*$AT67,0))/100</f>
        <v>7.2941249999999994E-3</v>
      </c>
      <c r="BO67" s="575">
        <f>(IF($BK$7&gt;0,$BK$7*$K67,0)+IF($BK$8&gt;0,$BK$8*$Q67,0)+IF($BK$9&gt;0,$BK$9*$W67,0)+IF($BK$10&gt;0,$BK$10*$AC67,0)+IF($BK$11&gt;0,$BK$11*$AI67,0)+IF($BK$12&gt;0,$BK$12*$AO67,0)+IF($BK$19&gt;0,$BK$19*$AU67,0))/100</f>
        <v>2.236865E-2</v>
      </c>
      <c r="BP67" s="572">
        <f>(IF($BP$7&gt;0,$BP$7*$G67,0)+IF($BP$8&gt;0,$BP$8*$M67,0)+IF($BP$9&gt;0,$BP$9*$S67,0)+IF($BP$10&gt;0,$BP$10*$Y67,0)+IF($BP$11&gt;0,$BP$11*$AE67,0)+IF($BP$12&gt;0,$BP$12*$AK67,0)+IF($BP$19&gt;0,$BP$19*$AQ67,0))/100</f>
        <v>29.176499999999997</v>
      </c>
      <c r="BQ67" s="573">
        <f>(IF($BP$7&gt;0,$BP$7*$H67,0)+IF($BP$8&gt;0,$BP$8*$N67,0)+IF($BP$9&gt;0,$BP$9*$T67,0)+IF($BP$10&gt;0,$BP$10*$Z67,0)+IF($BP$11&gt;0,$BP$11*$AF67,0)+IF($BP$12&gt;0,$BP$12*$AL67,0)+IF($BP$19&gt;0,$BP$19*$AR67,0))/100</f>
        <v>89.474599999999995</v>
      </c>
      <c r="BR67" s="574">
        <f>(IF($BP$7&gt;0,$BP$7*$I67,0)+IF($BP$8&gt;0,$BP$8*$O67,0)+IF($BP$9&gt;0,$BP$9*$U67,0)+IF($BP$10&gt;0,$BP$10*$AA67,0)+IF($BP$11&gt;0,$BP$11*$AG67,0)+IF($BP$12&gt;0,$BP$12*$AM67,0)+IF($BP$19&gt;0,$BP$19*$AS67,0))/100</f>
        <v>5.8353000000000007E-4</v>
      </c>
      <c r="BS67" s="574">
        <f>(IF($BP$7&gt;0,$BP$7*$J67,0)+IF($BP$8&gt;0,$BP$8*$P67,0)+IF($BP$9&gt;0,$BP$9*$V67,0)+IF($BP$10&gt;0,$BP$10*$AB67,0)+IF($BP$11&gt;0,$BP$11*$AH67,0)+IF($BP$12&gt;0,$BP$12*$AN67,0)+IF($BP$19&gt;0,$BP$19*$AT67,0))/100</f>
        <v>7.2941249999999994E-3</v>
      </c>
      <c r="BT67" s="575">
        <f>(IF($BP$7&gt;0,$BP$7*$K67,0)+IF($BP$8&gt;0,$BP$8*$Q67,0)+IF($BP$9&gt;0,$BP$9*$W67,0)+IF($BP$10&gt;0,$BP$10*$AC67,0)+IF($BP$11&gt;0,$BP$11*$AI67,0)+IF($BP$12&gt;0,$BP$12*$AO67,0)+IF($BP$19&gt;0,$BP$19*$AU67,0))/100</f>
        <v>2.236865E-2</v>
      </c>
    </row>
    <row r="68" spans="1:72" s="27" customFormat="1" x14ac:dyDescent="0.25">
      <c r="A68" s="205"/>
      <c r="B68" s="721"/>
      <c r="C68" s="750"/>
      <c r="D68" s="723"/>
      <c r="E68" s="176" t="s">
        <v>44</v>
      </c>
      <c r="F68" s="374" t="s">
        <v>440</v>
      </c>
      <c r="G68" s="569">
        <f>IF(F68="Y",'P C Data'!$M59,0)</f>
        <v>250</v>
      </c>
      <c r="H68" s="570">
        <f>G68/'P C Data'!$M$68</f>
        <v>400</v>
      </c>
      <c r="I68" s="570">
        <f>G68*VLOOKUP(VLOOKUP($E68,$E$41:$AU$50,3,FALSE),'Energy Cost &amp; Emissions'!$B$8:$L$29,5,FALSE)</f>
        <v>9.75E-3</v>
      </c>
      <c r="J68" s="570">
        <f>G68*VLOOKUP(VLOOKUP($E68,$E$41:$AU$50,3,FALSE),'Energy Cost &amp; Emissions'!$B$8:$L$29,10,FALSE)</f>
        <v>1.7299999999999999E-2</v>
      </c>
      <c r="K68" s="576">
        <f>J68/'P C Data'!$M$68</f>
        <v>2.768E-2</v>
      </c>
      <c r="L68" s="506" t="s">
        <v>440</v>
      </c>
      <c r="M68" s="572">
        <f>IF(L68="y",'P C Data'!$M59,0)</f>
        <v>250</v>
      </c>
      <c r="N68" s="573">
        <f>M68/'Syncarb to rMgO Data'!$H$27</f>
        <v>900</v>
      </c>
      <c r="O68" s="574">
        <f>M68*VLOOKUP(VLOOKUP($E68,$E$41:$AU$50,9,FALSE),'Energy Cost &amp; Emissions'!$B$8:$L$29,5,FALSE)</f>
        <v>9.75E-3</v>
      </c>
      <c r="P68" s="574">
        <f>M68*VLOOKUP(VLOOKUP($E68,$E$41:$AU$50,9,FALSE),'Energy Cost &amp; Emissions'!$B$8:$L$29,10,FALSE)</f>
        <v>1.7299999999999999E-2</v>
      </c>
      <c r="Q68" s="577">
        <f>P68/'Syncarb to rMgO Data'!$H$27</f>
        <v>6.2279999999999995E-2</v>
      </c>
      <c r="R68" s="506" t="s">
        <v>440</v>
      </c>
      <c r="S68" s="572">
        <f>IF(R68="Y",'P C Data'!$M59,0)</f>
        <v>250</v>
      </c>
      <c r="T68" s="573">
        <f>S68/'Syncarb to rMgO Data'!$H$27</f>
        <v>900</v>
      </c>
      <c r="U68" s="574">
        <f>S68*VLOOKUP(VLOOKUP($E68,$E$41:$AU$50,15,FALSE),'Energy Cost &amp; Emissions'!$B$8:$L$29,5,FALSE)</f>
        <v>9.75E-3</v>
      </c>
      <c r="V68" s="574">
        <f>S68*VLOOKUP(VLOOKUP($E68,$E$41:$AU$50,15,FALSE),'Energy Cost &amp; Emissions'!$B$8:$L$29,10,FALSE)</f>
        <v>1.7299999999999999E-2</v>
      </c>
      <c r="W68" s="577">
        <f>V68/'Syncarb to rMgO Data'!$H$27</f>
        <v>6.2279999999999995E-2</v>
      </c>
      <c r="X68" s="506" t="s">
        <v>440</v>
      </c>
      <c r="Y68" s="572">
        <f>IF(X68="Y",'P C Data'!$M59,0)</f>
        <v>250</v>
      </c>
      <c r="Z68" s="573">
        <f>Y68/'Lime Energy &amp; CO2 Data'!$H$27</f>
        <v>835.00000000000011</v>
      </c>
      <c r="AA68" s="574">
        <f>Y68*VLOOKUP(VLOOKUP($E68,$E$41:$AU$50,21,FALSE),'Energy Cost &amp; Emissions'!$B$8:$L$29,5,FALSE)</f>
        <v>9.75E-3</v>
      </c>
      <c r="AB68" s="574">
        <f>Y68*VLOOKUP(VLOOKUP($E68,$E$41:$AU$50,21,FALSE),'Energy Cost &amp; Emissions'!$B$8:$L$29,10,FALSE)</f>
        <v>1.7299999999999999E-2</v>
      </c>
      <c r="AC68" s="577">
        <f>AB68/'Syncarb to rMgO Data'!$H$27</f>
        <v>6.2279999999999995E-2</v>
      </c>
      <c r="AD68" s="506" t="s">
        <v>440</v>
      </c>
      <c r="AE68" s="569">
        <f>IF(AD68="Y",'P C Data'!$M59,0)</f>
        <v>250</v>
      </c>
      <c r="AF68" s="570">
        <f>AE68/'P C Data'!$M$68</f>
        <v>400</v>
      </c>
      <c r="AG68" s="570">
        <f>AE68*VLOOKUP(VLOOKUP($E68,$E$41:$AU$50,3,FALSE),'Energy Cost &amp; Emissions'!$B$8:$L$29,5,FALSE)</f>
        <v>9.75E-3</v>
      </c>
      <c r="AH68" s="570">
        <f>AE68*VLOOKUP(VLOOKUP($E68,$E$41:$AU$50,3,FALSE),'Energy Cost &amp; Emissions'!$B$8:$L$29,10,FALSE)</f>
        <v>1.7299999999999999E-2</v>
      </c>
      <c r="AI68" s="576">
        <f>AH68/'P C Data'!$M$68</f>
        <v>2.768E-2</v>
      </c>
      <c r="AJ68" s="506" t="s">
        <v>440</v>
      </c>
      <c r="AK68" s="569">
        <f>IF(AJ68="Y",'P C Data'!$M59,0)</f>
        <v>250</v>
      </c>
      <c r="AL68" s="570">
        <f>AK68/'P C Data'!$M$68</f>
        <v>400</v>
      </c>
      <c r="AM68" s="570">
        <f>AK68*VLOOKUP(VLOOKUP($E68,$E$41:$AU$50,3,FALSE),'Energy Cost &amp; Emissions'!$B$8:$L$29,5,FALSE)</f>
        <v>9.75E-3</v>
      </c>
      <c r="AN68" s="570">
        <f>AK68*VLOOKUP(VLOOKUP($E68,$E$41:$AU$50,3,FALSE),'Energy Cost &amp; Emissions'!$B$8:$L$29,10,FALSE)</f>
        <v>1.7299999999999999E-2</v>
      </c>
      <c r="AO68" s="576">
        <f>AN68/'P C Data'!$M$68</f>
        <v>2.768E-2</v>
      </c>
      <c r="AP68" s="506" t="s">
        <v>435</v>
      </c>
      <c r="AQ68" s="572">
        <f>IF(AP68="Y",'P C Data'!$M59,0)</f>
        <v>0</v>
      </c>
      <c r="AR68" s="573">
        <f>AQ68/'Syncarb to rMgO Data'!$H$27</f>
        <v>0</v>
      </c>
      <c r="AS68" s="574">
        <f>AQ68*VLOOKUP(VLOOKUP($E68,$E$41:$AU$50,39,FALSE),'Energy Cost &amp; Emissions'!$B$8:$L$29,5,FALSE)</f>
        <v>0</v>
      </c>
      <c r="AT68" s="574">
        <f>AQ68*VLOOKUP(VLOOKUP($E68,$E$41:$AU$50,39,FALSE),'Energy Cost &amp; Emissions'!$B$8:$L$29,10,FALSE)</f>
        <v>0</v>
      </c>
      <c r="AU68" s="577">
        <f>AT68/'Syncarb to rMgO Data'!$H$27</f>
        <v>0</v>
      </c>
      <c r="AV68" s="572">
        <f t="shared" si="18"/>
        <v>34.375</v>
      </c>
      <c r="AW68" s="573">
        <f t="shared" si="19"/>
        <v>58.75</v>
      </c>
      <c r="AX68" s="574">
        <f t="shared" si="12"/>
        <v>1.340625E-3</v>
      </c>
      <c r="AY68" s="574">
        <f t="shared" si="13"/>
        <v>2.3787500000000002E-3</v>
      </c>
      <c r="AZ68" s="577">
        <f t="shared" si="14"/>
        <v>4.0654999999999997E-3</v>
      </c>
      <c r="BA68" s="572">
        <f>(IF($BA$7&gt;0,$BA$7*$G68,0)+IF($BA$8&gt;0,$BA$8*$M68,0)+IF($BA$9&gt;0,$BA$9*$S68,0)+IF($BA$10&gt;0,$BA$10*$Y68,0)+IF($BA$11&gt;0,$BA$11*$AE68,0)+IF($BA$12&gt;0,$BA$12*$AK68,0)+IF($BA$19&gt;0,$BA$19*$AQ68,0))/100</f>
        <v>37.5</v>
      </c>
      <c r="BB68" s="573">
        <f>(IF($BA$7&gt;0,$BA$7*$H68,0)+IF($BA$8&gt;0,$BA$8*$N68,0)+IF($BA$9&gt;0,$BA$9*$T68,0)+IF($BA$10&gt;0,$BA$10*$Z68,0)+IF($BA$11&gt;0,$BA$11*$AF68,0)+IF($BA$12&gt;0,$BA$12*$AL68,0)+IF($BA$19&gt;0,$BA$19*$AR68,0))/100</f>
        <v>115</v>
      </c>
      <c r="BC68" s="574">
        <f>(IF($BA$7&gt;0,$BA$7*$I68,0)+IF($BA$8&gt;0,$BA$8*$O68,0)+IF($BA$9&gt;0,$BA$9*$U68,0)+IF($BA$10&gt;0,$BA$10*$AA68,0)+IF($BA$11&gt;0,$BA$11*$AG68,0)+IF($BA$12&gt;0,$BA$12*$AM68,0)+IF($BA$19&gt;0,$BA$19*$AS68,0))/100</f>
        <v>1.4624999999999998E-3</v>
      </c>
      <c r="BD68" s="574">
        <f>(IF($BA$7&gt;0,$BA$7*$J68,0)+IF($BA$8&gt;0,$BA$8*$P68,0)+IF($BA$9&gt;0,$BA$9*$V68,0)+IF($BA$10&gt;0,$BA$10*$AB68,0)+IF($BA$11&gt;0,$BA$11*$AH68,0)+IF($BA$12&gt;0,$BA$12*$AN68,0)+IF($BA$19&gt;0,$BA$19*$AT68,0))/100</f>
        <v>2.5950000000000001E-3</v>
      </c>
      <c r="BE68" s="577">
        <f>(IF($BA$7&gt;0,$BA$7*$K68,0)+IF($BA$8&gt;0,$BA$8*$Q68,0)+IF($BA$9&gt;0,$BA$9*$W68,0)+IF($BA$10&gt;0,$BA$10*$AC68,0)+IF($BA$11&gt;0,$BA$11*$AI68,0)+IF($BA$12&gt;0,$BA$12*$AO68,0)+IF($BA$19&gt;0,$BA$19*$AU68,0))/100</f>
        <v>7.9579999999999998E-3</v>
      </c>
      <c r="BF68" s="572">
        <f>(IF($BF$7&gt;0,$BF$7*$G68,0)+IF($BF$8&gt;0,$BF$8*$M68,0)+IF($BF$9&gt;0,$BF$9*$S68,0)+IF($BF$10&gt;0,$BF$10*$Y68,0)+IF($BF$11&gt;0,$BF$11*$AE68,0)+IF($BF$12&gt;0,$BF$12*$AK68,0)+IF($BF$19&gt;0,$BF$19*$AQ68,0))/100</f>
        <v>37.5</v>
      </c>
      <c r="BG68" s="573">
        <f>(IF($BF$7&gt;0,$BF$7*$H68,0)+IF($BF$8&gt;0,$BF$8*$N68,0)+IF($BF$9&gt;0,$BF$9*$T68,0)+IF($BF$10&gt;0,$BF$10*$Z68,0)+IF($BF$11&gt;0,$BF$11*$AF68,0)+IF($BF$12&gt;0,$BF$12*$AL68,0)+IF($BF$19&gt;0,$BF$19*$AR68,0))/100</f>
        <v>125.25000000000001</v>
      </c>
      <c r="BH68" s="574">
        <f>(IF($BF$7&gt;0,$BF$7*$I68,0)+IF($BF$8&gt;0,$BF$8*$O68,0)+IF($BF$9&gt;0,$BF$9*$U68,0)+IF($BF$10&gt;0,$BF$10*$AA68,0)+IF($BF$11&gt;0,$BF$11*$AG68,0)+IF($BF$12&gt;0,$BF$12*$AM68,0)+IF($BF$19&gt;0,$BF$19*$AS68,0))/100</f>
        <v>1.4624999999999998E-3</v>
      </c>
      <c r="BI68" s="574">
        <f>(IF($BF$7&gt;0,$BF$7*$J68,0)+IF($BF$8&gt;0,$BF$8*$P68,0)+IF($BF$9&gt;0,$BF$9*$V68,0)+IF($BF$10&gt;0,$BF$10*$AB68,0)+IF($BF$11&gt;0,$BF$11*$AH68,0)+IF($BF$12&gt;0,$BF$12*$AN68,0)+IF($BF$19&gt;0,$BF$19*$AT68,0))/100</f>
        <v>2.5950000000000001E-3</v>
      </c>
      <c r="BJ68" s="577">
        <f>(IF($BF$7&gt;0,$BF$7*$K68,0)+IF($BF$8&gt;0,$BF$8*$Q68,0)+IF($BF$9&gt;0,$BF$9*$W68,0)+IF($BF$10&gt;0,$BF$10*$AC68,0)+IF($BF$11&gt;0,$BF$11*$AI68,0)+IF($BF$12&gt;0,$BF$12*$AO68,0)+IF($BF$19&gt;0,$BF$19*$AU68,0))/100</f>
        <v>9.3419999999999996E-3</v>
      </c>
      <c r="BK68" s="572">
        <f>(IF($BK$7&gt;0,$BK$7*$G68,0)+IF($BK$8&gt;0,$BK$8*$M68,0)+IF($BK$9&gt;0,$BK$9*$S68,0)+IF($BK$10&gt;0,$BK$10*$Y68,0)+IF($BK$11&gt;0,$BK$11*$AE68,0)+IF($BK$12&gt;0,$BK$12*$AK68,0)+IF($BK$19&gt;0,$BK$19*$AQ68,0))/100</f>
        <v>37.5</v>
      </c>
      <c r="BL68" s="573">
        <f>(IF($BK$7&gt;0,$BK$7*$H68,0)+IF($BK$8&gt;0,$BK$8*$N68,0)+IF($BK$9&gt;0,$BK$9*$T68,0)+IF($BK$10&gt;0,$BK$10*$Z68,0)+IF($BK$11&gt;0,$BK$11*$AF68,0)+IF($BK$12&gt;0,$BK$12*$AL68,0)+IF($BK$19&gt;0,$BK$19*$AR68,0))/100</f>
        <v>115</v>
      </c>
      <c r="BM68" s="574">
        <f>(IF($BK$7&gt;0,$BK$7*$I68,0)+IF($BK$8&gt;0,$BK$8*$O68,0)+IF($BK$9&gt;0,$BK$9*$U68,0)+IF($BK$10&gt;0,$BK$10*$AA68,0)+IF($BK$11&gt;0,$BK$11*$AG68,0)+IF($BK$12&gt;0,$BK$12*$AM68,0)+IF($BK$19&gt;0,$BK$19*$AS68,0))/100</f>
        <v>1.4624999999999998E-3</v>
      </c>
      <c r="BN68" s="574">
        <f>(IF($BK$7&gt;0,$BK$7*$J68,0)+IF($BK$8&gt;0,$BK$8*$P68,0)+IF($BK$9&gt;0,$BK$9*$V68,0)+IF($BK$10&gt;0,$BK$10*$AB68,0)+IF($BK$11&gt;0,$BK$11*$AH68,0)+IF($BK$12&gt;0,$BK$12*$AN68,0)+IF($BK$19&gt;0,$BK$19*$AT68,0))/100</f>
        <v>2.5950000000000001E-3</v>
      </c>
      <c r="BO68" s="577">
        <f>(IF($BK$7&gt;0,$BK$7*$K68,0)+IF($BK$8&gt;0,$BK$8*$Q68,0)+IF($BK$9&gt;0,$BK$9*$W68,0)+IF($BK$10&gt;0,$BK$10*$AC68,0)+IF($BK$11&gt;0,$BK$11*$AI68,0)+IF($BK$12&gt;0,$BK$12*$AO68,0)+IF($BK$19&gt;0,$BK$19*$AU68,0))/100</f>
        <v>7.9579999999999998E-3</v>
      </c>
      <c r="BP68" s="572">
        <f>(IF($BP$7&gt;0,$BP$7*$G68,0)+IF($BP$8&gt;0,$BP$8*$M68,0)+IF($BP$9&gt;0,$BP$9*$S68,0)+IF($BP$10&gt;0,$BP$10*$Y68,0)+IF($BP$11&gt;0,$BP$11*$AE68,0)+IF($BP$12&gt;0,$BP$12*$AK68,0)+IF($BP$19&gt;0,$BP$19*$AQ68,0))/100</f>
        <v>37.5</v>
      </c>
      <c r="BQ68" s="573">
        <f>(IF($BP$7&gt;0,$BP$7*$H68,0)+IF($BP$8&gt;0,$BP$8*$N68,0)+IF($BP$9&gt;0,$BP$9*$T68,0)+IF($BP$10&gt;0,$BP$10*$Z68,0)+IF($BP$11&gt;0,$BP$11*$AF68,0)+IF($BP$12&gt;0,$BP$12*$AL68,0)+IF($BP$19&gt;0,$BP$19*$AR68,0))/100</f>
        <v>115</v>
      </c>
      <c r="BR68" s="574">
        <f>(IF($BP$7&gt;0,$BP$7*$I68,0)+IF($BP$8&gt;0,$BP$8*$O68,0)+IF($BP$9&gt;0,$BP$9*$U68,0)+IF($BP$10&gt;0,$BP$10*$AA68,0)+IF($BP$11&gt;0,$BP$11*$AG68,0)+IF($BP$12&gt;0,$BP$12*$AM68,0)+IF($BP$19&gt;0,$BP$19*$AS68,0))/100</f>
        <v>1.4624999999999998E-3</v>
      </c>
      <c r="BS68" s="574">
        <f>(IF($BP$7&gt;0,$BP$7*$J68,0)+IF($BP$8&gt;0,$BP$8*$P68,0)+IF($BP$9&gt;0,$BP$9*$V68,0)+IF($BP$10&gt;0,$BP$10*$AB68,0)+IF($BP$11&gt;0,$BP$11*$AH68,0)+IF($BP$12&gt;0,$BP$12*$AN68,0)+IF($BP$19&gt;0,$BP$19*$AT68,0))/100</f>
        <v>2.5950000000000001E-3</v>
      </c>
      <c r="BT68" s="577">
        <f>(IF($BP$7&gt;0,$BP$7*$K68,0)+IF($BP$8&gt;0,$BP$8*$Q68,0)+IF($BP$9&gt;0,$BP$9*$W68,0)+IF($BP$10&gt;0,$BP$10*$AC68,0)+IF($BP$11&gt;0,$BP$11*$AI68,0)+IF($BP$12&gt;0,$BP$12*$AO68,0)+IF($BP$19&gt;0,$BP$19*$AU68,0))/100</f>
        <v>7.9579999999999998E-3</v>
      </c>
    </row>
    <row r="69" spans="1:72" s="27" customFormat="1" ht="18.75" thickBot="1" x14ac:dyDescent="0.3">
      <c r="A69" s="205"/>
      <c r="B69" s="718"/>
      <c r="C69" s="719"/>
      <c r="D69" s="720"/>
      <c r="E69" s="183" t="s">
        <v>197</v>
      </c>
      <c r="F69" s="375" t="s">
        <v>442</v>
      </c>
      <c r="G69" s="578">
        <f>SUM(G67:G68)</f>
        <v>444.51</v>
      </c>
      <c r="H69" s="579">
        <f>SUM(H67:H68)</f>
        <v>711.21600000000001</v>
      </c>
      <c r="I69" s="579">
        <f>SUM(I67:I68)</f>
        <v>1.36402E-2</v>
      </c>
      <c r="J69" s="579">
        <f>SUM(J67:J68)</f>
        <v>6.59275E-2</v>
      </c>
      <c r="K69" s="580">
        <f>SUM(K67:K68)</f>
        <v>0.10548399999999999</v>
      </c>
      <c r="L69" s="520" t="s">
        <v>442</v>
      </c>
      <c r="M69" s="581">
        <f>SUM(M67:M68)</f>
        <v>444.51</v>
      </c>
      <c r="N69" s="582">
        <f>SUM(N67:N68)</f>
        <v>1600.2359999999999</v>
      </c>
      <c r="O69" s="582">
        <f>SUM(O67:O68)</f>
        <v>1.36402E-2</v>
      </c>
      <c r="P69" s="582">
        <f>SUM(P67:P68)</f>
        <v>6.59275E-2</v>
      </c>
      <c r="Q69" s="583">
        <f>SUM(Q67:Q68)</f>
        <v>0.23733899999999999</v>
      </c>
      <c r="R69" s="520" t="s">
        <v>442</v>
      </c>
      <c r="S69" s="581">
        <f>SUM(S67:S68)</f>
        <v>444.51</v>
      </c>
      <c r="T69" s="582">
        <f>SUM(T67:T68)</f>
        <v>1600.2359999999999</v>
      </c>
      <c r="U69" s="582">
        <f>SUM(U67:U68)</f>
        <v>1.36402E-2</v>
      </c>
      <c r="V69" s="582">
        <f>SUM(V67:V68)</f>
        <v>6.59275E-2</v>
      </c>
      <c r="W69" s="583">
        <f>SUM(W67:W68)</f>
        <v>0.23733899999999999</v>
      </c>
      <c r="X69" s="520" t="s">
        <v>442</v>
      </c>
      <c r="Y69" s="581">
        <f>SUM(Y67:Y68)</f>
        <v>444.51</v>
      </c>
      <c r="Z69" s="581">
        <f>SUM(Z67:Z68)</f>
        <v>1484.6634000000001</v>
      </c>
      <c r="AA69" s="581">
        <f>SUM(AA67:AA68)</f>
        <v>1.36402E-2</v>
      </c>
      <c r="AB69" s="581">
        <f>SUM(AB67:AB68)</f>
        <v>6.59275E-2</v>
      </c>
      <c r="AC69" s="581">
        <f>SUM(AC67:AC68)</f>
        <v>0.23733899999999999</v>
      </c>
      <c r="AD69" s="520" t="s">
        <v>442</v>
      </c>
      <c r="AE69" s="578">
        <f>SUM(AE67:AE68)</f>
        <v>250</v>
      </c>
      <c r="AF69" s="579">
        <f>SUM(AF67:AF68)</f>
        <v>400</v>
      </c>
      <c r="AG69" s="579">
        <f>SUM(AG67:AG68)</f>
        <v>9.75E-3</v>
      </c>
      <c r="AH69" s="579">
        <f>SUM(AH67:AH68)</f>
        <v>1.7299999999999999E-2</v>
      </c>
      <c r="AI69" s="580">
        <f>SUM(AI67:AI68)</f>
        <v>2.768E-2</v>
      </c>
      <c r="AJ69" s="520" t="s">
        <v>442</v>
      </c>
      <c r="AK69" s="578">
        <f>SUM(AK67:AK68)</f>
        <v>250</v>
      </c>
      <c r="AL69" s="579">
        <f>SUM(AL67:AL68)</f>
        <v>400</v>
      </c>
      <c r="AM69" s="579">
        <f>SUM(AM67:AM68)</f>
        <v>9.75E-3</v>
      </c>
      <c r="AN69" s="579">
        <f>SUM(AN67:AN68)</f>
        <v>1.7299999999999999E-2</v>
      </c>
      <c r="AO69" s="580">
        <f>SUM(AO67:AO68)</f>
        <v>2.768E-2</v>
      </c>
      <c r="AP69" s="520" t="s">
        <v>442</v>
      </c>
      <c r="AQ69" s="581">
        <f t="shared" ref="AQ69:BT69" si="22">SUM(AQ67:AQ68)</f>
        <v>0</v>
      </c>
      <c r="AR69" s="582">
        <f t="shared" si="22"/>
        <v>0</v>
      </c>
      <c r="AS69" s="582">
        <f t="shared" si="22"/>
        <v>0</v>
      </c>
      <c r="AT69" s="582">
        <f t="shared" si="22"/>
        <v>0</v>
      </c>
      <c r="AU69" s="583">
        <f t="shared" si="22"/>
        <v>0</v>
      </c>
      <c r="AV69" s="578">
        <f t="shared" si="22"/>
        <v>49.449525000000001</v>
      </c>
      <c r="AW69" s="579">
        <f t="shared" si="22"/>
        <v>85.78689</v>
      </c>
      <c r="AX69" s="579">
        <f t="shared" si="22"/>
        <v>1.6421155000000002E-3</v>
      </c>
      <c r="AY69" s="579">
        <f t="shared" si="22"/>
        <v>6.1473812500000002E-3</v>
      </c>
      <c r="AZ69" s="580">
        <f t="shared" si="22"/>
        <v>1.0824722499999998E-2</v>
      </c>
      <c r="BA69" s="581">
        <f t="shared" si="22"/>
        <v>66.676500000000004</v>
      </c>
      <c r="BB69" s="582">
        <f t="shared" si="22"/>
        <v>204.47460000000001</v>
      </c>
      <c r="BC69" s="582">
        <f t="shared" si="22"/>
        <v>2.0460299999999999E-3</v>
      </c>
      <c r="BD69" s="582">
        <f t="shared" si="22"/>
        <v>9.8891249999999986E-3</v>
      </c>
      <c r="BE69" s="583">
        <f t="shared" si="22"/>
        <v>3.032665E-2</v>
      </c>
      <c r="BF69" s="581">
        <f t="shared" si="22"/>
        <v>66.676500000000004</v>
      </c>
      <c r="BG69" s="582">
        <f t="shared" si="22"/>
        <v>222.69951000000003</v>
      </c>
      <c r="BH69" s="582">
        <f t="shared" si="22"/>
        <v>2.0460299999999999E-3</v>
      </c>
      <c r="BI69" s="582">
        <f t="shared" si="22"/>
        <v>9.8891249999999986E-3</v>
      </c>
      <c r="BJ69" s="583">
        <f t="shared" si="22"/>
        <v>3.5600849999999996E-2</v>
      </c>
      <c r="BK69" s="581">
        <f t="shared" si="22"/>
        <v>66.676500000000004</v>
      </c>
      <c r="BL69" s="582">
        <f t="shared" si="22"/>
        <v>204.47460000000001</v>
      </c>
      <c r="BM69" s="582">
        <f t="shared" si="22"/>
        <v>2.0460299999999999E-3</v>
      </c>
      <c r="BN69" s="582">
        <f t="shared" si="22"/>
        <v>9.8891249999999986E-3</v>
      </c>
      <c r="BO69" s="583">
        <f t="shared" si="22"/>
        <v>3.032665E-2</v>
      </c>
      <c r="BP69" s="581">
        <f t="shared" si="22"/>
        <v>66.676500000000004</v>
      </c>
      <c r="BQ69" s="582">
        <f t="shared" si="22"/>
        <v>204.47460000000001</v>
      </c>
      <c r="BR69" s="582">
        <f t="shared" si="22"/>
        <v>2.0460299999999999E-3</v>
      </c>
      <c r="BS69" s="582">
        <f t="shared" si="22"/>
        <v>9.8891249999999986E-3</v>
      </c>
      <c r="BT69" s="583">
        <f t="shared" si="22"/>
        <v>3.032665E-2</v>
      </c>
    </row>
    <row r="70" spans="1:72" s="27" customFormat="1" ht="18.75" thickBot="1" x14ac:dyDescent="0.3">
      <c r="A70" s="205"/>
      <c r="B70" s="779"/>
      <c r="C70" s="747"/>
      <c r="D70" s="748"/>
      <c r="E70" s="290" t="s">
        <v>427</v>
      </c>
      <c r="F70" s="377" t="s">
        <v>441</v>
      </c>
      <c r="G70" s="584">
        <f>G61+G66+G69</f>
        <v>3962.7200000000003</v>
      </c>
      <c r="H70" s="585">
        <f>H61+H66+H69</f>
        <v>6340.3520000000008</v>
      </c>
      <c r="I70" s="585">
        <f>I61+I66+I69</f>
        <v>0.12690408</v>
      </c>
      <c r="J70" s="585">
        <f>J61+J66+J69</f>
        <v>0.8860198239999999</v>
      </c>
      <c r="K70" s="586">
        <f>K61+K66+K69</f>
        <v>1.4176317184</v>
      </c>
      <c r="L70" s="587" t="s">
        <v>441</v>
      </c>
      <c r="M70" s="588">
        <f>M61+M66+M69</f>
        <v>7468.8596357847146</v>
      </c>
      <c r="N70" s="589">
        <f>N61+N66+N69</f>
        <v>26796.126273919268</v>
      </c>
      <c r="O70" s="589">
        <f>O61+O66+O69</f>
        <v>0.2880402257956039</v>
      </c>
      <c r="P70" s="589">
        <f>P61+P66+P69</f>
        <v>8.2365159635784696E-2</v>
      </c>
      <c r="Q70" s="590">
        <f>Q61+Q66+Q69</f>
        <v>0.29651457468882514</v>
      </c>
      <c r="R70" s="587" t="s">
        <v>441</v>
      </c>
      <c r="S70" s="588">
        <f>S61+S66+S69</f>
        <v>7546.879635784715</v>
      </c>
      <c r="T70" s="589">
        <f>T61+T66+T69</f>
        <v>27076.998273919267</v>
      </c>
      <c r="U70" s="589">
        <f>U61+U66+U69</f>
        <v>0.30534713536642999</v>
      </c>
      <c r="V70" s="589">
        <f>V61+V66+V69</f>
        <v>1.1951094216908578</v>
      </c>
      <c r="W70" s="590">
        <f>W61+W66+W69</f>
        <v>4.3023939180870885</v>
      </c>
      <c r="X70" s="587" t="s">
        <v>441</v>
      </c>
      <c r="Y70" s="588">
        <f>Y61+Y66+Y69</f>
        <v>4830.1469944437995</v>
      </c>
      <c r="Z70" s="589">
        <f>Z61+Z66+Z69</f>
        <v>16049.811946536587</v>
      </c>
      <c r="AA70" s="589">
        <f>AA61+AA66+AA69</f>
        <v>0.19478930910285169</v>
      </c>
      <c r="AB70" s="589">
        <f>AB61+AB66+AB69</f>
        <v>0.88537580563067775</v>
      </c>
      <c r="AC70" s="590">
        <f>AC61+AC66+AC69</f>
        <v>2.9742963408064638</v>
      </c>
      <c r="AD70" s="587" t="s">
        <v>441</v>
      </c>
      <c r="AE70" s="584">
        <f>AE61+AE66+AE69</f>
        <v>400</v>
      </c>
      <c r="AF70" s="585">
        <f>AF61+AF66+AF69</f>
        <v>850</v>
      </c>
      <c r="AG70" s="585">
        <f>AG61+AG66+AG69</f>
        <v>1.375E-2</v>
      </c>
      <c r="AH70" s="585">
        <f>AH61+AH66+AH69</f>
        <v>3.8620000000000002E-2</v>
      </c>
      <c r="AI70" s="586">
        <f>AI61+AI66+AI69</f>
        <v>9.1639999999999999E-2</v>
      </c>
      <c r="AJ70" s="587" t="s">
        <v>441</v>
      </c>
      <c r="AK70" s="584">
        <f>AK61+AK66+AK69</f>
        <v>400</v>
      </c>
      <c r="AL70" s="585">
        <f>AL61+AL66+AL69</f>
        <v>737.5</v>
      </c>
      <c r="AM70" s="585">
        <f>AM61+AM66+AM69</f>
        <v>1.375E-2</v>
      </c>
      <c r="AN70" s="585">
        <f>AN61+AN66+AN69</f>
        <v>3.8620000000000002E-2</v>
      </c>
      <c r="AO70" s="586">
        <f>AO61+AO66+AO69</f>
        <v>7.5649999999999995E-2</v>
      </c>
      <c r="AP70" s="587" t="s">
        <v>441</v>
      </c>
      <c r="AQ70" s="588">
        <f t="shared" ref="AQ70:BT70" si="23">AQ61+AQ66+AQ69</f>
        <v>100</v>
      </c>
      <c r="AR70" s="589">
        <f t="shared" si="23"/>
        <v>360</v>
      </c>
      <c r="AS70" s="589">
        <f t="shared" si="23"/>
        <v>-1.2476829570826093E-2</v>
      </c>
      <c r="AT70" s="589">
        <f t="shared" si="23"/>
        <v>-1.091688638055073</v>
      </c>
      <c r="AU70" s="590">
        <f t="shared" si="23"/>
        <v>-3.9300790969982624</v>
      </c>
      <c r="AV70" s="584">
        <f t="shared" si="23"/>
        <v>377.40684726838538</v>
      </c>
      <c r="AW70" s="585">
        <f t="shared" si="23"/>
        <v>764.42058705439456</v>
      </c>
      <c r="AX70" s="585">
        <f t="shared" si="23"/>
        <v>9.3732213793018097E-3</v>
      </c>
      <c r="AY70" s="585">
        <f t="shared" si="23"/>
        <v>-0.15338140123374622</v>
      </c>
      <c r="AZ70" s="586">
        <f t="shared" si="23"/>
        <v>-0.67953903980148644</v>
      </c>
      <c r="BA70" s="588">
        <f t="shared" si="23"/>
        <v>980.08335993631863</v>
      </c>
      <c r="BB70" s="589">
        <f t="shared" si="23"/>
        <v>3201.18797013112</v>
      </c>
      <c r="BC70" s="589">
        <f t="shared" si="23"/>
        <v>3.6760588037516431E-2</v>
      </c>
      <c r="BD70" s="589">
        <f t="shared" si="23"/>
        <v>4.4500960519936322E-2</v>
      </c>
      <c r="BE70" s="590">
        <f t="shared" si="23"/>
        <v>8.9321871951770757E-2</v>
      </c>
      <c r="BF70" s="588">
        <f t="shared" si="23"/>
        <v>724.5220491665699</v>
      </c>
      <c r="BG70" s="589">
        <f t="shared" si="23"/>
        <v>2407.471791980488</v>
      </c>
      <c r="BH70" s="589">
        <f t="shared" si="23"/>
        <v>2.9218396365427751E-2</v>
      </c>
      <c r="BI70" s="589">
        <f t="shared" si="23"/>
        <v>0.13280637084460167</v>
      </c>
      <c r="BJ70" s="590">
        <f t="shared" si="23"/>
        <v>0.44614445112096962</v>
      </c>
      <c r="BK70" s="588">
        <f t="shared" si="23"/>
        <v>980.08335993631863</v>
      </c>
      <c r="BL70" s="589">
        <f t="shared" si="23"/>
        <v>3201.18797013112</v>
      </c>
      <c r="BM70" s="589">
        <f t="shared" si="23"/>
        <v>3.6760588037516431E-2</v>
      </c>
      <c r="BN70" s="589">
        <f t="shared" si="23"/>
        <v>4.4500960519936322E-2</v>
      </c>
      <c r="BO70" s="590">
        <f t="shared" si="23"/>
        <v>8.9321871951770757E-2</v>
      </c>
      <c r="BP70" s="588">
        <f t="shared" si="23"/>
        <v>1060.0833599363186</v>
      </c>
      <c r="BQ70" s="589">
        <f t="shared" si="23"/>
        <v>3489.18797013112</v>
      </c>
      <c r="BR70" s="589">
        <f t="shared" si="23"/>
        <v>2.677912438085556E-2</v>
      </c>
      <c r="BS70" s="589">
        <f t="shared" si="23"/>
        <v>-0.82884994992412198</v>
      </c>
      <c r="BT70" s="590">
        <f t="shared" si="23"/>
        <v>-3.05474140564684</v>
      </c>
    </row>
    <row r="71" spans="1:72" s="27" customFormat="1" x14ac:dyDescent="0.25">
      <c r="A71" s="205"/>
      <c r="B71" s="745" t="s">
        <v>404</v>
      </c>
      <c r="C71" s="716"/>
      <c r="D71" s="717"/>
      <c r="E71" s="184" t="s">
        <v>436</v>
      </c>
      <c r="F71" s="373" t="s">
        <v>435</v>
      </c>
      <c r="G71" s="591">
        <f>IF(F71="Y",G35*G64,0)</f>
        <v>0</v>
      </c>
      <c r="H71" s="592">
        <f>G71/'P C Data'!$M$68</f>
        <v>0</v>
      </c>
      <c r="I71" s="593">
        <f>IF(F71="Y",G35*I64,0)</f>
        <v>0</v>
      </c>
      <c r="J71" s="593">
        <f>IF(F71="Y",G35*J64,0)</f>
        <v>0</v>
      </c>
      <c r="K71" s="594">
        <f>J71/'P C Data'!$M$68</f>
        <v>0</v>
      </c>
      <c r="L71" s="595" t="s">
        <v>440</v>
      </c>
      <c r="M71" s="596">
        <f>IF(L71="Y",M35*M64,0)</f>
        <v>32.480499999999999</v>
      </c>
      <c r="N71" s="597">
        <f>M71/'Syncarb to rMgO Data'!$H$27</f>
        <v>116.92979999999999</v>
      </c>
      <c r="O71" s="598">
        <f>IF(L71="Y",M35*O64,0)</f>
        <v>6.4961000000000001E-4</v>
      </c>
      <c r="P71" s="598">
        <f>IF(L71 = "Y",M35*P64,0)</f>
        <v>8.1201249999999989E-3</v>
      </c>
      <c r="Q71" s="598">
        <f>P71/'Syncarb to rMgO Data'!$H$27</f>
        <v>2.9232449999999993E-2</v>
      </c>
      <c r="R71" s="595" t="s">
        <v>440</v>
      </c>
      <c r="S71" s="596">
        <f>IF(R71="Y",S35*S64,0)</f>
        <v>32.480499999999999</v>
      </c>
      <c r="T71" s="597">
        <f>S71/'Syncarb to rMgO Data'!$H$27</f>
        <v>116.92979999999999</v>
      </c>
      <c r="U71" s="598">
        <f>IF(R71="Y",S35*U64,0)</f>
        <v>6.4961000000000001E-4</v>
      </c>
      <c r="V71" s="598">
        <f>IF(R71 = "Y",S35*V64,0)</f>
        <v>8.1201249999999989E-3</v>
      </c>
      <c r="W71" s="598">
        <f>V71/'Syncarb to rMgO Data'!$H$27</f>
        <v>2.9232449999999993E-2</v>
      </c>
      <c r="X71" s="595" t="s">
        <v>440</v>
      </c>
      <c r="Y71" s="596">
        <f>IF(X71="Y",Y35*Y64,0)</f>
        <v>32.480499999999999</v>
      </c>
      <c r="Z71" s="597">
        <f>Y71/'Lime Energy &amp; CO2 Data'!$H$27</f>
        <v>108.48487</v>
      </c>
      <c r="AA71" s="598">
        <f>IF(X71="Y",Y35*AA64,0)</f>
        <v>6.4961000000000001E-4</v>
      </c>
      <c r="AB71" s="598">
        <f>IF(X71 = "Y",Y35*AB64,0)</f>
        <v>8.1201249999999989E-3</v>
      </c>
      <c r="AC71" s="598">
        <f>AB71/'Lime Energy &amp; CO2 Data'!$H$27</f>
        <v>2.7121217499999999E-2</v>
      </c>
      <c r="AD71" s="595" t="s">
        <v>435</v>
      </c>
      <c r="AE71" s="591"/>
      <c r="AF71" s="592"/>
      <c r="AG71" s="593"/>
      <c r="AH71" s="593"/>
      <c r="AI71" s="594"/>
      <c r="AJ71" s="595" t="s">
        <v>435</v>
      </c>
      <c r="AK71" s="591"/>
      <c r="AL71" s="592"/>
      <c r="AM71" s="593"/>
      <c r="AN71" s="593"/>
      <c r="AO71" s="594"/>
      <c r="AP71" s="595" t="s">
        <v>435</v>
      </c>
      <c r="AQ71" s="596">
        <f>IF(AP71="Y",AQ35*AQ64,0)</f>
        <v>0</v>
      </c>
      <c r="AR71" s="597">
        <f>AQ71/'Syncarb to rMgO Data'!$H$27</f>
        <v>0</v>
      </c>
      <c r="AS71" s="598">
        <f>IF(AP71="Y",AQ35*AS64,0)</f>
        <v>0</v>
      </c>
      <c r="AT71" s="598">
        <f>IF(AP71 = "Y",AQ35*AT64,0)</f>
        <v>0</v>
      </c>
      <c r="AU71" s="598">
        <f>AT71/'Syncarb to rMgO Data'!$H$27</f>
        <v>0</v>
      </c>
      <c r="AV71" s="591">
        <f t="shared" ref="AV71:AV72" si="24">(IF($AV$7&gt;0,$AV$7*$G71,0)+IF($AV$8&gt;0,$AV$8*$M71,0)+IF($AV$9&gt;0,$AV$9*$S71,0)+IF($AV$10&gt;0,$AV$10*$Y71,0)+IF($AV$11&gt;0,$AV$11*$AE71,0)+IF($AV$12&gt;0,$AV$12*$AK71,0)+IF($AV$19&gt;0,$AV$19*$AQ71,0))/100</f>
        <v>0.24360374999999998</v>
      </c>
      <c r="AW71" s="592">
        <f t="shared" ref="AW71:AW72" si="25">(IF($AV$7&gt;0,$AV$7*$H71,0)+IF($AV$8&gt;0,$AV$8*$N71,0)+IF($AV$9&gt;0,$AV$9*$T71,0)+IF($AV$10&gt;0,$AV$10*$Z71,0)+IF($AV$11&gt;0,$AV$11*$AF71,0)+IF($AV$12&gt;0,$AV$12*$AL71,0)+IF($AV$19&gt;0,$AV$19*$AR71,0))/100</f>
        <v>0.87697349999999985</v>
      </c>
      <c r="AX71" s="593">
        <f t="shared" ref="AX71:AX72" si="26">(IF($AV$7&gt;0,$AV$7*$I71,0)+IF($AV$8&gt;0,$AV$8*$O71,0)+IF($AV$9&gt;0,$AV$9*$U71,0)+IF($AV$10&gt;0,$AV$10*$AA71,0)+IF($AV$11&gt;0,$AV$11*$AG71,0)+IF($AV$12&gt;0,$AV$12*$AM71,0)+IF($AV$19&gt;0,$AV$19*$AS71,0))/100</f>
        <v>4.8720749999999994E-6</v>
      </c>
      <c r="AY71" s="593">
        <f t="shared" ref="AY71:AY72" si="27">(IF($AV$7&gt;0,$AV$7*$J71,0)+IF($AV$8&gt;0,$AV$8*$P71,0)+IF($AV$9&gt;0,$AV$9*$V71,0)+IF($AV$10&gt;0,$AV$10*$AB71,0)+IF($AV$11&gt;0,$AV$11*$AH71,0)+IF($AV$12&gt;0,$AV$12*$AN71,0)+IF($AV$19&gt;0,$AV$19*$AT71,0))/100</f>
        <v>6.0900937499999991E-5</v>
      </c>
      <c r="AZ71" s="594">
        <f t="shared" ref="AZ71:AZ72" si="28">(IF($AV$7&gt;0,$AV$7*$K71,0)+IF($AV$8&gt;0,$AV$8*$Q71,0)+IF($AV$9&gt;0,$AV$9*$W71,0)+IF($AV$10&gt;0,$AV$10*$AC71,0)+IF($AV$11&gt;0,$AV$11*$AI71,0)+IF($AV$12&gt;0,$AV$12*$AO71,0)+IF($AV$19&gt;0,$AV$19*$AU71,0))/100</f>
        <v>2.1924337499999995E-4</v>
      </c>
      <c r="BA71" s="596">
        <f>(IF($BA$7&gt;0,$BA$7*$G71,0)+IF($BA$8&gt;0,$BA$8*$M71,0)+IF($BA$9&gt;0,$BA$9*$S71,0)+IF($BA$10&gt;0,$BA$10*$Y71,0)+IF($BA$11&gt;0,$BA$11*$AE71,0)+IF($BA$12&gt;0,$BA$12*$AK71,0)+IF($BA$19&gt;0,$BA$19*$AQ71,0))/100</f>
        <v>3.5728550000000001</v>
      </c>
      <c r="BB71" s="597">
        <f>(IF($BA$7&gt;0,$BA$7*$H71,0)+IF($BA$8&gt;0,$BA$8*$N71,0)+IF($BA$9&gt;0,$BA$9*$T71,0)+IF($BA$10&gt;0,$BA$10*$Z71,0)+IF($BA$11&gt;0,$BA$11*$AF71,0)+IF($BA$12&gt;0,$BA$12*$AL71,0)+IF($BA$19&gt;0,$BA$19*$AR71,0))/100</f>
        <v>12.862277999999998</v>
      </c>
      <c r="BC71" s="598">
        <f>(IF($BA$7&gt;0,$BA$7*$I71,0)+IF($BA$8&gt;0,$BA$8*$O71,0)+IF($BA$9&gt;0,$BA$9*$U71,0)+IF($BA$10&gt;0,$BA$10*$AA71,0)+IF($BA$11&gt;0,$BA$11*$AG71,0)+IF($BA$12&gt;0,$BA$12*$AM71,0)+IF($BA$19&gt;0,$BA$19*$AS71,0))/100</f>
        <v>7.1457100000000011E-5</v>
      </c>
      <c r="BD71" s="598">
        <f>(IF($BA$7&gt;0,$BA$7*$J71,0)+IF($BA$8&gt;0,$BA$8*$P71,0)+IF($BA$9&gt;0,$BA$9*$V71,0)+IF($BA$10&gt;0,$BA$10*$AB71,0)+IF($BA$11&gt;0,$BA$11*$AH71,0)+IF($BA$12&gt;0,$BA$12*$AN71,0)+IF($BA$19&gt;0,$BA$19*$AT71,0))/100</f>
        <v>8.9321374999999984E-4</v>
      </c>
      <c r="BE71" s="598">
        <f>(IF($BA$7&gt;0,$BA$7*$K71,0)+IF($BA$8&gt;0,$BA$8*$Q71,0)+IF($BA$9&gt;0,$BA$9*$W71,0)+IF($BA$10&gt;0,$BA$10*$AC71,0)+IF($BA$11&gt;0,$BA$11*$AI71,0)+IF($BA$12&gt;0,$BA$12*$AO71,0)+IF($BA$19&gt;0,$BA$19*$AU71,0))/100</f>
        <v>3.2155694999999995E-3</v>
      </c>
      <c r="BF71" s="596">
        <f>(IF($BF$7&gt;0,$BF$7*$G71,0)+IF($BF$8&gt;0,$BF$8*$M71,0)+IF($BF$9&gt;0,$BF$9*$S71,0)+IF($BF$10&gt;0,$BF$10*$Y71,0)+IF($BF$11&gt;0,$BF$11*$AE71,0)+IF($BF$12&gt;0,$BF$12*$AK71,0)+IF($BF$19&gt;0,$BF$19*$AQ71,0))/100</f>
        <v>4.8720749999999997</v>
      </c>
      <c r="BG71" s="597">
        <f>(IF($BF$7&gt;0,$BF$7*$H71,0)+IF($BF$8&gt;0,$BF$8*$N71,0)+IF($BF$9&gt;0,$BF$9*$T71,0)+IF($BF$10&gt;0,$BF$10*$Z71,0)+IF($BF$11&gt;0,$BF$11*$AF71,0)+IF($BF$12&gt;0,$BF$12*$AL71,0)+IF($BF$19&gt;0,$BF$19*$AR71,0))/100</f>
        <v>16.272730500000002</v>
      </c>
      <c r="BH71" s="598">
        <f>(IF($BF$7&gt;0,$BF$7*$I71,0)+IF($BF$8&gt;0,$BF$8*$O71,0)+IF($BF$9&gt;0,$BF$9*$U71,0)+IF($BF$10&gt;0,$BF$10*$AA71,0)+IF($BF$11&gt;0,$BF$11*$AG71,0)+IF($BF$12&gt;0,$BF$12*$AM71,0)+IF($BF$19&gt;0,$BF$19*$AS71,0))/100</f>
        <v>9.7441499999999999E-5</v>
      </c>
      <c r="BI71" s="598">
        <f>(IF($BF$7&gt;0,$BF$7*$J71,0)+IF($BF$8&gt;0,$BF$8*$P71,0)+IF($BF$9&gt;0,$BF$9*$V71,0)+IF($BF$10&gt;0,$BF$10*$AB71,0)+IF($BF$11&gt;0,$BF$11*$AH71,0)+IF($BF$12&gt;0,$BF$12*$AN71,0)+IF($BF$19&gt;0,$BF$19*$AT71,0))/100</f>
        <v>1.2180187499999998E-3</v>
      </c>
      <c r="BJ71" s="598">
        <f>(IF($BF$7&gt;0,$BF$7*$K71,0)+IF($BF$8&gt;0,$BF$8*$Q71,0)+IF($BF$9&gt;0,$BF$9*$W71,0)+IF($BF$10&gt;0,$BF$10*$AC71,0)+IF($BF$11&gt;0,$BF$11*$AI71,0)+IF($BF$12&gt;0,$BF$12*$AO71,0)+IF($BF$19&gt;0,$BF$19*$AU71,0))/100</f>
        <v>4.0681826249999997E-3</v>
      </c>
      <c r="BK71" s="596">
        <f>(IF($BK$7&gt;0,$BK$7*$G71,0)+IF($BK$8&gt;0,$BK$8*$M71,0)+IF($BK$9&gt;0,$BK$9*$S71,0)+IF($BK$10&gt;0,$BK$10*$Y71,0)+IF($BK$11&gt;0,$BK$11*$AE71,0)+IF($BK$12&gt;0,$BK$12*$AK71,0)+IF($BK$19&gt;0,$BK$19*$AQ71,0))/100</f>
        <v>3.5728550000000001</v>
      </c>
      <c r="BL71" s="597">
        <f>(IF($BK$7&gt;0,$BK$7*$H71,0)+IF($BK$8&gt;0,$BK$8*$N71,0)+IF($BK$9&gt;0,$BK$9*$T71,0)+IF($BK$10&gt;0,$BK$10*$Z71,0)+IF($BK$11&gt;0,$BK$11*$AF71,0)+IF($BK$12&gt;0,$BK$12*$AL71,0)+IF($BK$19&gt;0,$BK$19*$AR71,0))/100</f>
        <v>12.862277999999998</v>
      </c>
      <c r="BM71" s="598">
        <f>(IF($BK$7&gt;0,$BK$7*$I71,0)+IF($BK$8&gt;0,$BK$8*$O71,0)+IF($BK$9&gt;0,$BK$9*$U71,0)+IF($BK$10&gt;0,$BK$10*$AA71,0)+IF($BK$11&gt;0,$BK$11*$AG71,0)+IF($BK$12&gt;0,$BK$12*$AM71,0)+IF($BK$19&gt;0,$BK$19*$AS71,0))/100</f>
        <v>7.1457100000000011E-5</v>
      </c>
      <c r="BN71" s="598">
        <f>(IF($BK$7&gt;0,$BK$7*$J71,0)+IF($BK$8&gt;0,$BK$8*$P71,0)+IF($BK$9&gt;0,$BK$9*$V71,0)+IF($BK$10&gt;0,$BK$10*$AB71,0)+IF($BK$11&gt;0,$BK$11*$AH71,0)+IF($BK$12&gt;0,$BK$12*$AN71,0)+IF($BK$19&gt;0,$BK$19*$AT71,0))/100</f>
        <v>8.9321374999999984E-4</v>
      </c>
      <c r="BO71" s="598">
        <f>(IF($BK$7&gt;0,$BK$7*$K71,0)+IF($BK$8&gt;0,$BK$8*$Q71,0)+IF($BK$9&gt;0,$BK$9*$W71,0)+IF($BK$10&gt;0,$BK$10*$AC71,0)+IF($BK$11&gt;0,$BK$11*$AI71,0)+IF($BK$12&gt;0,$BK$12*$AO71,0)+IF($BK$19&gt;0,$BK$19*$AU71,0))/100</f>
        <v>3.2155694999999995E-3</v>
      </c>
      <c r="BP71" s="596">
        <f>(IF($BP$7&gt;0,$BP$7*$G71,0)+IF($BP$8&gt;0,$BP$8*$M71,0)+IF($BP$9&gt;0,$BP$9*$S71,0)+IF($BP$10&gt;0,$BP$10*$Y71,0)+IF($BP$11&gt;0,$BP$11*$AE71,0)+IF($BP$12&gt;0,$BP$12*$AK71,0)+IF($BP$19&gt;0,$BP$19*$AQ71,0))/100</f>
        <v>3.5728550000000001</v>
      </c>
      <c r="BQ71" s="597">
        <f>(IF($BP$7&gt;0,$BP$7*$H71,0)+IF($BP$8&gt;0,$BP$8*$N71,0)+IF($BP$9&gt;0,$BP$9*$T71,0)+IF($BP$10&gt;0,$BP$10*$Z71,0)+IF($BP$11&gt;0,$BP$11*$AF71,0)+IF($BP$12&gt;0,$BP$12*$AL71,0)+IF($BP$19&gt;0,$BP$19*$AR71,0))/100</f>
        <v>12.862277999999998</v>
      </c>
      <c r="BR71" s="598">
        <f>(IF($BP$7&gt;0,$BP$7*$I71,0)+IF($BP$8&gt;0,$BP$8*$O71,0)+IF($BP$9&gt;0,$BP$9*$U71,0)+IF($BP$10&gt;0,$BP$10*$AA71,0)+IF($BP$11&gt;0,$BP$11*$AG71,0)+IF($BP$12&gt;0,$BP$12*$AM71,0)+IF($BP$19&gt;0,$BP$19*$AS71,0))/100</f>
        <v>7.1457100000000011E-5</v>
      </c>
      <c r="BS71" s="598">
        <f>(IF($BP$7&gt;0,$BP$7*$J71,0)+IF($BP$8&gt;0,$BP$8*$P71,0)+IF($BP$9&gt;0,$BP$9*$V71,0)+IF($BP$10&gt;0,$BP$10*$AB71,0)+IF($BP$11&gt;0,$BP$11*$AH71,0)+IF($BP$12&gt;0,$BP$12*$AN71,0)+IF($BP$19&gt;0,$BP$19*$AT71,0))/100</f>
        <v>8.9321374999999984E-4</v>
      </c>
      <c r="BT71" s="652">
        <f>(IF($BP$7&gt;0,$BP$7*$K71,0)+IF($BP$8&gt;0,$BP$8*$Q71,0)+IF($BP$9&gt;0,$BP$9*$W71,0)+IF($BP$10&gt;0,$BP$10*$AC71,0)+IF($BP$11&gt;0,$BP$11*$AI71,0)+IF($BP$12&gt;0,$BP$12*$AO71,0)+IF($BP$19&gt;0,$BP$19*$AU71,0))/100</f>
        <v>3.2155694999999995E-3</v>
      </c>
    </row>
    <row r="72" spans="1:72" s="27" customFormat="1" x14ac:dyDescent="0.25">
      <c r="A72" s="205"/>
      <c r="B72" s="721"/>
      <c r="C72" s="722"/>
      <c r="D72" s="723"/>
      <c r="E72" s="182" t="s">
        <v>425</v>
      </c>
      <c r="F72" s="374" t="s">
        <v>435</v>
      </c>
      <c r="G72" s="527"/>
      <c r="H72" s="528"/>
      <c r="I72" s="528">
        <f>'Energy &amp; Emissions Comparison'!$D$94*J72</f>
        <v>0</v>
      </c>
      <c r="J72" s="528">
        <f>IF(F72 = "Y",G34*J65,0)</f>
        <v>0</v>
      </c>
      <c r="K72" s="529">
        <f>J72/'P C Data'!$M$68</f>
        <v>0</v>
      </c>
      <c r="L72" s="506" t="s">
        <v>440</v>
      </c>
      <c r="M72" s="530"/>
      <c r="N72" s="531"/>
      <c r="O72" s="531">
        <f>'Energy &amp; Emissions Comparison'!$D$94*P72</f>
        <v>1.5557988092284787E-2</v>
      </c>
      <c r="P72" s="531">
        <f>IF(L72 = "Y",M35*P65,0)</f>
        <v>1.0371992061523192</v>
      </c>
      <c r="Q72" s="532">
        <f>P72/'Syncarb to rMgO Data'!$H$27</f>
        <v>3.733917142148349</v>
      </c>
      <c r="R72" s="506" t="s">
        <v>440</v>
      </c>
      <c r="S72" s="530"/>
      <c r="T72" s="531"/>
      <c r="U72" s="531">
        <f>'Energy &amp; Emissions Comparison'!$D$94*V72</f>
        <v>1.5557988092284787E-2</v>
      </c>
      <c r="V72" s="531">
        <f>IF(R72 = "Y",S35*V65,0)</f>
        <v>1.0371992061523192</v>
      </c>
      <c r="W72" s="532">
        <f>V72/'Syncarb to rMgO Data'!$H$27</f>
        <v>3.733917142148349</v>
      </c>
      <c r="X72" s="506" t="s">
        <v>440</v>
      </c>
      <c r="Y72" s="530"/>
      <c r="Z72" s="531"/>
      <c r="AA72" s="531">
        <f>'Energy &amp; Emissions Comparison'!$D$94*AB72</f>
        <v>1.1182997503566333E-2</v>
      </c>
      <c r="AB72" s="531">
        <f>IF(X72 = "Y",Y35*AB65,0)</f>
        <v>0.74553316690442217</v>
      </c>
      <c r="AC72" s="532">
        <f>AB72/'Lime Energy &amp; CO2 Data'!$H$27</f>
        <v>2.4900807774607703</v>
      </c>
      <c r="AD72" s="506" t="s">
        <v>435</v>
      </c>
      <c r="AE72" s="527"/>
      <c r="AF72" s="528"/>
      <c r="AG72" s="528"/>
      <c r="AH72" s="528"/>
      <c r="AI72" s="529"/>
      <c r="AJ72" s="506" t="s">
        <v>435</v>
      </c>
      <c r="AK72" s="527"/>
      <c r="AL72" s="528"/>
      <c r="AM72" s="528"/>
      <c r="AN72" s="528"/>
      <c r="AO72" s="529"/>
      <c r="AP72" s="506" t="s">
        <v>435</v>
      </c>
      <c r="AQ72" s="530"/>
      <c r="AR72" s="531"/>
      <c r="AS72" s="531">
        <f>'Energy &amp; Emissions Comparison'!$D$94*AT72</f>
        <v>0</v>
      </c>
      <c r="AT72" s="531">
        <f>IF(AP72 = "Y",AQ35*AT65,0)</f>
        <v>0</v>
      </c>
      <c r="AU72" s="532">
        <f>AT72/'Syncarb to rMgO Data'!$H$27</f>
        <v>0</v>
      </c>
      <c r="AV72" s="527">
        <f t="shared" si="24"/>
        <v>0</v>
      </c>
      <c r="AW72" s="528">
        <f t="shared" si="25"/>
        <v>0</v>
      </c>
      <c r="AX72" s="528">
        <f t="shared" si="26"/>
        <v>1.1668491069213592E-4</v>
      </c>
      <c r="AY72" s="528">
        <f t="shared" si="27"/>
        <v>7.7789940461423937E-3</v>
      </c>
      <c r="AZ72" s="529">
        <f t="shared" si="28"/>
        <v>2.8004378566112615E-2</v>
      </c>
      <c r="BA72" s="530">
        <f>(IF($BA$7&gt;0,$BA$7*$G72,0)+IF($BA$8&gt;0,$BA$8*$M72,0)+IF($BA$9&gt;0,$BA$9*$S72,0)+IF($BA$10&gt;0,$BA$10*$Y72,0)+IF($BA$11&gt;0,$BA$11*$AE72,0)+IF($BA$12&gt;0,$BA$12*$AK72,0)+IF($BA$19&gt;0,$BA$19*$AQ72,0))/100</f>
        <v>0</v>
      </c>
      <c r="BB72" s="531">
        <f>(IF($BA$7&gt;0,$BA$7*$H72,0)+IF($BA$8&gt;0,$BA$8*$N72,0)+IF($BA$9&gt;0,$BA$9*$T72,0)+IF($BA$10&gt;0,$BA$10*$Z72,0)+IF($BA$11&gt;0,$BA$11*$AF72,0)+IF($BA$12&gt;0,$BA$12*$AL72,0)+IF($BA$19&gt;0,$BA$19*$AR72,0))/100</f>
        <v>0</v>
      </c>
      <c r="BC72" s="531">
        <f>(IF($BA$7&gt;0,$BA$7*$I72,0)+IF($BA$8&gt;0,$BA$8*$O72,0)+IF($BA$9&gt;0,$BA$9*$U72,0)+IF($BA$10&gt;0,$BA$10*$AA72,0)+IF($BA$11&gt;0,$BA$11*$AG72,0)+IF($BA$12&gt;0,$BA$12*$AM72,0)+IF($BA$19&gt;0,$BA$19*$AS72,0))/100</f>
        <v>1.7113786901513267E-3</v>
      </c>
      <c r="BD72" s="531">
        <f>(IF($BA$7&gt;0,$BA$7*$J72,0)+IF($BA$8&gt;0,$BA$8*$P72,0)+IF($BA$9&gt;0,$BA$9*$V72,0)+IF($BA$10&gt;0,$BA$10*$AB72,0)+IF($BA$11&gt;0,$BA$11*$AH72,0)+IF($BA$12&gt;0,$BA$12*$AN72,0)+IF($BA$19&gt;0,$BA$19*$AT72,0))/100</f>
        <v>0.11409191267675511</v>
      </c>
      <c r="BE72" s="532">
        <f>(IF($BA$7&gt;0,$BA$7*$K72,0)+IF($BA$8&gt;0,$BA$8*$Q72,0)+IF($BA$9&gt;0,$BA$9*$W72,0)+IF($BA$10&gt;0,$BA$10*$AC72,0)+IF($BA$11&gt;0,$BA$11*$AI72,0)+IF($BA$12&gt;0,$BA$12*$AO72,0)+IF($BA$19&gt;0,$BA$19*$AU72,0))/100</f>
        <v>0.41073088563631843</v>
      </c>
      <c r="BF72" s="530">
        <f>(IF($BF$7&gt;0,$BF$7*$G72,0)+IF($BF$8&gt;0,$BF$8*$M72,0)+IF($BF$9&gt;0,$BF$9*$S72,0)+IF($BF$10&gt;0,$BF$10*$Y72,0)+IF($BF$11&gt;0,$BF$11*$AE72,0)+IF($BF$12&gt;0,$BF$12*$AK72,0)+IF($BF$19&gt;0,$BF$19*$AQ72,0))/100</f>
        <v>0</v>
      </c>
      <c r="BG72" s="531">
        <f>(IF($BF$7&gt;0,$BF$7*$H72,0)+IF($BF$8&gt;0,$BF$8*$N72,0)+IF($BF$9&gt;0,$BF$9*$T72,0)+IF($BF$10&gt;0,$BF$10*$Z72,0)+IF($BF$11&gt;0,$BF$11*$AF72,0)+IF($BF$12&gt;0,$BF$12*$AL72,0)+IF($BF$19&gt;0,$BF$19*$AR72,0))/100</f>
        <v>0</v>
      </c>
      <c r="BH72" s="531">
        <f>(IF($BF$7&gt;0,$BF$7*$I72,0)+IF($BF$8&gt;0,$BF$8*$O72,0)+IF($BF$9&gt;0,$BF$9*$U72,0)+IF($BF$10&gt;0,$BF$10*$AA72,0)+IF($BF$11&gt;0,$BF$11*$AG72,0)+IF($BF$12&gt;0,$BF$12*$AM72,0)+IF($BF$19&gt;0,$BF$19*$AS72,0))/100</f>
        <v>1.6774496255349499E-3</v>
      </c>
      <c r="BI72" s="531">
        <f>(IF($BF$7&gt;0,$BF$7*$J72,0)+IF($BF$8&gt;0,$BF$8*$P72,0)+IF($BF$9&gt;0,$BF$9*$V72,0)+IF($BF$10&gt;0,$BF$10*$AB72,0)+IF($BF$11&gt;0,$BF$11*$AH72,0)+IF($BF$12&gt;0,$BF$12*$AN72,0)+IF($BF$19&gt;0,$BF$19*$AT72,0))/100</f>
        <v>0.11182997503566332</v>
      </c>
      <c r="BJ72" s="532">
        <f>(IF($BF$7&gt;0,$BF$7*$K72,0)+IF($BF$8&gt;0,$BF$8*$Q72,0)+IF($BF$9&gt;0,$BF$9*$W72,0)+IF($BF$10&gt;0,$BF$10*$AC72,0)+IF($BF$11&gt;0,$BF$11*$AI72,0)+IF($BF$12&gt;0,$BF$12*$AO72,0)+IF($BF$19&gt;0,$BF$19*$AU72,0))/100</f>
        <v>0.37351211661911554</v>
      </c>
      <c r="BK72" s="530">
        <f>(IF($BK$7&gt;0,$BK$7*$G72,0)+IF($BK$8&gt;0,$BK$8*$M72,0)+IF($BK$9&gt;0,$BK$9*$S72,0)+IF($BK$10&gt;0,$BK$10*$Y72,0)+IF($BK$11&gt;0,$BK$11*$AE72,0)+IF($BK$12&gt;0,$BK$12*$AK72,0)+IF($BK$19&gt;0,$BK$19*$AQ72,0))/100</f>
        <v>0</v>
      </c>
      <c r="BL72" s="531">
        <f>(IF($BK$7&gt;0,$BK$7*$H72,0)+IF($BK$8&gt;0,$BK$8*$N72,0)+IF($BK$9&gt;0,$BK$9*$T72,0)+IF($BK$10&gt;0,$BK$10*$Z72,0)+IF($BK$11&gt;0,$BK$11*$AF72,0)+IF($BK$12&gt;0,$BK$12*$AL72,0)+IF($BK$19&gt;0,$BK$19*$AR72,0))/100</f>
        <v>0</v>
      </c>
      <c r="BM72" s="531">
        <f>(IF($BK$7&gt;0,$BK$7*$I72,0)+IF($BK$8&gt;0,$BK$8*$O72,0)+IF($BK$9&gt;0,$BK$9*$U72,0)+IF($BK$10&gt;0,$BK$10*$AA72,0)+IF($BK$11&gt;0,$BK$11*$AG72,0)+IF($BK$12&gt;0,$BK$12*$AM72,0)+IF($BK$19&gt;0,$BK$19*$AS72,0))/100</f>
        <v>1.7113786901513267E-3</v>
      </c>
      <c r="BN72" s="531">
        <f>(IF($BK$7&gt;0,$BK$7*$J72,0)+IF($BK$8&gt;0,$BK$8*$P72,0)+IF($BK$9&gt;0,$BK$9*$V72,0)+IF($BK$10&gt;0,$BK$10*$AB72,0)+IF($BK$11&gt;0,$BK$11*$AH72,0)+IF($BK$12&gt;0,$BK$12*$AN72,0)+IF($BK$19&gt;0,$BK$19*$AT72,0))/100</f>
        <v>0.11409191267675511</v>
      </c>
      <c r="BO72" s="532">
        <f>(IF($BK$7&gt;0,$BK$7*$K72,0)+IF($BK$8&gt;0,$BK$8*$Q72,0)+IF($BK$9&gt;0,$BK$9*$W72,0)+IF($BK$10&gt;0,$BK$10*$AC72,0)+IF($BK$11&gt;0,$BK$11*$AI72,0)+IF($BK$12&gt;0,$BK$12*$AO72,0)+IF($BK$19&gt;0,$BK$19*$AU72,0))/100</f>
        <v>0.41073088563631843</v>
      </c>
      <c r="BP72" s="530">
        <f>(IF($BP$7&gt;0,$BP$7*$G72,0)+IF($BP$8&gt;0,$BP$8*$M72,0)+IF($BP$9&gt;0,$BP$9*$S72,0)+IF($BP$10&gt;0,$BP$10*$Y72,0)+IF($BP$11&gt;0,$BP$11*$AE72,0)+IF($BP$12&gt;0,$BP$12*$AK72,0)+IF($BP$19&gt;0,$BP$19*$AQ72,0))/100</f>
        <v>0</v>
      </c>
      <c r="BQ72" s="531">
        <f>(IF($BP$7&gt;0,$BP$7*$H72,0)+IF($BP$8&gt;0,$BP$8*$N72,0)+IF($BP$9&gt;0,$BP$9*$T72,0)+IF($BP$10&gt;0,$BP$10*$Z72,0)+IF($BP$11&gt;0,$BP$11*$AF72,0)+IF($BP$12&gt;0,$BP$12*$AL72,0)+IF($BP$19&gt;0,$BP$19*$AR72,0))/100</f>
        <v>0</v>
      </c>
      <c r="BR72" s="531">
        <f>(IF($BP$7&gt;0,$BP$7*$I72,0)+IF($BP$8&gt;0,$BP$8*$O72,0)+IF($BP$9&gt;0,$BP$9*$U72,0)+IF($BP$10&gt;0,$BP$10*$AA72,0)+IF($BP$11&gt;0,$BP$11*$AG72,0)+IF($BP$12&gt;0,$BP$12*$AM72,0)+IF($BP$19&gt;0,$BP$19*$AS72,0))/100</f>
        <v>1.7113786901513267E-3</v>
      </c>
      <c r="BS72" s="531">
        <f>(IF($BP$7&gt;0,$BP$7*$J72,0)+IF($BP$8&gt;0,$BP$8*$P72,0)+IF($BP$9&gt;0,$BP$9*$V72,0)+IF($BP$10&gt;0,$BP$10*$AB72,0)+IF($BP$11&gt;0,$BP$11*$AH72,0)+IF($BP$12&gt;0,$BP$12*$AN72,0)+IF($BP$19&gt;0,$BP$19*$AT72,0))/100</f>
        <v>0.11409191267675511</v>
      </c>
      <c r="BT72" s="532">
        <f>(IF($BP$7&gt;0,$BP$7*$K72,0)+IF($BP$8&gt;0,$BP$8*$Q72,0)+IF($BP$9&gt;0,$BP$9*$W72,0)+IF($BP$10&gt;0,$BP$10*$AC72,0)+IF($BP$11&gt;0,$BP$11*$AI72,0)+IF($BP$12&gt;0,$BP$12*$AO72,0)+IF($BP$19&gt;0,$BP$19*$AU72,0))/100</f>
        <v>0.41073088563631843</v>
      </c>
    </row>
    <row r="73" spans="1:72" s="27" customFormat="1" ht="18.75" thickBot="1" x14ac:dyDescent="0.3">
      <c r="A73" s="205"/>
      <c r="B73" s="718"/>
      <c r="C73" s="719"/>
      <c r="D73" s="720"/>
      <c r="E73" s="345" t="s">
        <v>197</v>
      </c>
      <c r="F73" s="375" t="s">
        <v>442</v>
      </c>
      <c r="G73" s="599">
        <f>SUM(G71:G72)</f>
        <v>0</v>
      </c>
      <c r="H73" s="600">
        <f>SUM(H71:H72)</f>
        <v>0</v>
      </c>
      <c r="I73" s="600">
        <f>SUM(I71:I72)</f>
        <v>0</v>
      </c>
      <c r="J73" s="600">
        <f>SUM(J71:J72)</f>
        <v>0</v>
      </c>
      <c r="K73" s="601">
        <f>SUM(K71:K72)</f>
        <v>0</v>
      </c>
      <c r="L73" s="520" t="s">
        <v>442</v>
      </c>
      <c r="M73" s="602">
        <f>SUM(M71:M72)</f>
        <v>32.480499999999999</v>
      </c>
      <c r="N73" s="603">
        <f>SUM(N71:N72)</f>
        <v>116.92979999999999</v>
      </c>
      <c r="O73" s="603">
        <f>SUM(O71:O72)</f>
        <v>1.6207598092284788E-2</v>
      </c>
      <c r="P73" s="603">
        <f>SUM(P71:P72)</f>
        <v>1.0453193311523192</v>
      </c>
      <c r="Q73" s="604">
        <f>SUM(Q71:Q72)</f>
        <v>3.7631495921483489</v>
      </c>
      <c r="R73" s="520" t="s">
        <v>442</v>
      </c>
      <c r="S73" s="602">
        <f>SUM(S71:S72)</f>
        <v>32.480499999999999</v>
      </c>
      <c r="T73" s="603">
        <f>SUM(T71:T72)</f>
        <v>116.92979999999999</v>
      </c>
      <c r="U73" s="603">
        <f>SUM(U71:U72)</f>
        <v>1.6207598092284788E-2</v>
      </c>
      <c r="V73" s="603">
        <f>SUM(V71:V72)</f>
        <v>1.0453193311523192</v>
      </c>
      <c r="W73" s="604">
        <f>SUM(W71:W72)</f>
        <v>3.7631495921483489</v>
      </c>
      <c r="X73" s="520" t="s">
        <v>442</v>
      </c>
      <c r="Y73" s="602">
        <f>SUM(Y71:Y72)</f>
        <v>32.480499999999999</v>
      </c>
      <c r="Z73" s="603">
        <f>SUM(Z71:Z72)</f>
        <v>108.48487</v>
      </c>
      <c r="AA73" s="603">
        <f>SUM(AA71:AA72)</f>
        <v>1.1832607503566333E-2</v>
      </c>
      <c r="AB73" s="603">
        <f>SUM(AB71:AB72)</f>
        <v>0.75365329190442221</v>
      </c>
      <c r="AC73" s="604">
        <f>SUM(AC71:AC72)</f>
        <v>2.5172019949607702</v>
      </c>
      <c r="AD73" s="520" t="s">
        <v>442</v>
      </c>
      <c r="AE73" s="599">
        <f>SUM(AE71:AE72)</f>
        <v>0</v>
      </c>
      <c r="AF73" s="600">
        <f>SUM(AF71:AF72)</f>
        <v>0</v>
      </c>
      <c r="AG73" s="600">
        <f>SUM(AG71:AG72)</f>
        <v>0</v>
      </c>
      <c r="AH73" s="600">
        <f>SUM(AH71:AH72)</f>
        <v>0</v>
      </c>
      <c r="AI73" s="601">
        <f>SUM(AI71:AI72)</f>
        <v>0</v>
      </c>
      <c r="AJ73" s="520" t="s">
        <v>442</v>
      </c>
      <c r="AK73" s="599">
        <f>SUM(AK71:AK72)</f>
        <v>0</v>
      </c>
      <c r="AL73" s="600">
        <f>SUM(AL71:AL72)</f>
        <v>0</v>
      </c>
      <c r="AM73" s="600">
        <f>SUM(AM71:AM72)</f>
        <v>0</v>
      </c>
      <c r="AN73" s="600">
        <f>SUM(AN71:AN72)</f>
        <v>0</v>
      </c>
      <c r="AO73" s="601">
        <f>SUM(AO71:AO72)</f>
        <v>0</v>
      </c>
      <c r="AP73" s="520" t="s">
        <v>442</v>
      </c>
      <c r="AQ73" s="602">
        <f t="shared" ref="AQ73:BT73" si="29">SUM(AQ71:AQ72)</f>
        <v>0</v>
      </c>
      <c r="AR73" s="603">
        <f t="shared" si="29"/>
        <v>0</v>
      </c>
      <c r="AS73" s="603">
        <f t="shared" si="29"/>
        <v>0</v>
      </c>
      <c r="AT73" s="603">
        <f t="shared" si="29"/>
        <v>0</v>
      </c>
      <c r="AU73" s="604">
        <f t="shared" si="29"/>
        <v>0</v>
      </c>
      <c r="AV73" s="599">
        <f t="shared" si="29"/>
        <v>0.24360374999999998</v>
      </c>
      <c r="AW73" s="600">
        <f t="shared" si="29"/>
        <v>0.87697349999999985</v>
      </c>
      <c r="AX73" s="600">
        <f t="shared" si="29"/>
        <v>1.2155698569213592E-4</v>
      </c>
      <c r="AY73" s="600">
        <f t="shared" si="29"/>
        <v>7.8398949836423933E-3</v>
      </c>
      <c r="AZ73" s="601">
        <f t="shared" si="29"/>
        <v>2.8223621941112616E-2</v>
      </c>
      <c r="BA73" s="602">
        <f t="shared" si="29"/>
        <v>3.5728550000000001</v>
      </c>
      <c r="BB73" s="603">
        <f t="shared" si="29"/>
        <v>12.862277999999998</v>
      </c>
      <c r="BC73" s="603">
        <f t="shared" si="29"/>
        <v>1.7828357901513267E-3</v>
      </c>
      <c r="BD73" s="603">
        <f t="shared" si="29"/>
        <v>0.11498512642675511</v>
      </c>
      <c r="BE73" s="604">
        <f t="shared" si="29"/>
        <v>0.41394645513631845</v>
      </c>
      <c r="BF73" s="602">
        <f t="shared" si="29"/>
        <v>4.8720749999999997</v>
      </c>
      <c r="BG73" s="603">
        <f t="shared" si="29"/>
        <v>16.272730500000002</v>
      </c>
      <c r="BH73" s="603">
        <f t="shared" si="29"/>
        <v>1.7748911255349499E-3</v>
      </c>
      <c r="BI73" s="603">
        <f t="shared" si="29"/>
        <v>0.11304799378566331</v>
      </c>
      <c r="BJ73" s="604">
        <f t="shared" si="29"/>
        <v>0.37758029924411551</v>
      </c>
      <c r="BK73" s="602">
        <f t="shared" si="29"/>
        <v>3.5728550000000001</v>
      </c>
      <c r="BL73" s="603">
        <f t="shared" si="29"/>
        <v>12.862277999999998</v>
      </c>
      <c r="BM73" s="603">
        <f t="shared" si="29"/>
        <v>1.7828357901513267E-3</v>
      </c>
      <c r="BN73" s="603">
        <f t="shared" si="29"/>
        <v>0.11498512642675511</v>
      </c>
      <c r="BO73" s="604">
        <f t="shared" si="29"/>
        <v>0.41394645513631845</v>
      </c>
      <c r="BP73" s="602">
        <f t="shared" si="29"/>
        <v>3.5728550000000001</v>
      </c>
      <c r="BQ73" s="603">
        <f t="shared" si="29"/>
        <v>12.862277999999998</v>
      </c>
      <c r="BR73" s="603">
        <f t="shared" si="29"/>
        <v>1.7828357901513267E-3</v>
      </c>
      <c r="BS73" s="603">
        <f t="shared" si="29"/>
        <v>0.11498512642675511</v>
      </c>
      <c r="BT73" s="604">
        <f t="shared" si="29"/>
        <v>0.41394645513631845</v>
      </c>
    </row>
    <row r="74" spans="1:72" s="27" customFormat="1" ht="18.75" thickBot="1" x14ac:dyDescent="0.3">
      <c r="A74" s="205"/>
      <c r="B74" s="746"/>
      <c r="C74" s="747"/>
      <c r="D74" s="748"/>
      <c r="E74" s="351" t="s">
        <v>428</v>
      </c>
      <c r="F74" s="377" t="s">
        <v>441</v>
      </c>
      <c r="G74" s="605">
        <f>G70-G73</f>
        <v>3962.7200000000003</v>
      </c>
      <c r="H74" s="605">
        <f>H70-H73</f>
        <v>6340.3520000000008</v>
      </c>
      <c r="I74" s="605">
        <f>I70-I73</f>
        <v>0.12690408</v>
      </c>
      <c r="J74" s="605">
        <f>J70-J73</f>
        <v>0.8860198239999999</v>
      </c>
      <c r="K74" s="606">
        <f>K70-K73</f>
        <v>1.4176317184</v>
      </c>
      <c r="L74" s="607" t="s">
        <v>441</v>
      </c>
      <c r="M74" s="608">
        <f>M70-M73</f>
        <v>7436.3791357847149</v>
      </c>
      <c r="N74" s="608">
        <f>N70-N73</f>
        <v>26679.196473919266</v>
      </c>
      <c r="O74" s="608">
        <f>O70-O73</f>
        <v>0.27183262770331912</v>
      </c>
      <c r="P74" s="608">
        <f>P70-P73</f>
        <v>-0.96295417151653451</v>
      </c>
      <c r="Q74" s="608">
        <f>Q70-Q73</f>
        <v>-3.4666350174595237</v>
      </c>
      <c r="R74" s="607" t="s">
        <v>441</v>
      </c>
      <c r="S74" s="608">
        <f>S70-S73</f>
        <v>7514.3991357847153</v>
      </c>
      <c r="T74" s="608">
        <f>T70-T73</f>
        <v>26960.068473919266</v>
      </c>
      <c r="U74" s="608">
        <f>U70-U73</f>
        <v>0.28913953727414521</v>
      </c>
      <c r="V74" s="608">
        <f>V70-V73</f>
        <v>0.14979009053853853</v>
      </c>
      <c r="W74" s="608">
        <f>W70-W73</f>
        <v>0.53924432593873961</v>
      </c>
      <c r="X74" s="607" t="s">
        <v>441</v>
      </c>
      <c r="Y74" s="608">
        <f>Y70-Y73</f>
        <v>4797.6664944437998</v>
      </c>
      <c r="Z74" s="608">
        <f>Z70-Z73</f>
        <v>15941.327076536587</v>
      </c>
      <c r="AA74" s="608">
        <f>AA70-AA73</f>
        <v>0.18295670159928537</v>
      </c>
      <c r="AB74" s="608">
        <f>AB70-AB73</f>
        <v>0.13172251372625554</v>
      </c>
      <c r="AC74" s="608">
        <f>AC70-AC73</f>
        <v>0.45709434584569353</v>
      </c>
      <c r="AD74" s="607" t="s">
        <v>441</v>
      </c>
      <c r="AE74" s="605">
        <f>AE70-AE73</f>
        <v>400</v>
      </c>
      <c r="AF74" s="605">
        <f>AF70-AF73</f>
        <v>850</v>
      </c>
      <c r="AG74" s="605">
        <f>AG70-AG73</f>
        <v>1.375E-2</v>
      </c>
      <c r="AH74" s="605">
        <f>AH70-AH73</f>
        <v>3.8620000000000002E-2</v>
      </c>
      <c r="AI74" s="606">
        <f>AI70-AI73</f>
        <v>9.1639999999999999E-2</v>
      </c>
      <c r="AJ74" s="607" t="s">
        <v>441</v>
      </c>
      <c r="AK74" s="605">
        <f>AK70-AK73</f>
        <v>400</v>
      </c>
      <c r="AL74" s="605">
        <f>AL70-AL73</f>
        <v>737.5</v>
      </c>
      <c r="AM74" s="605">
        <f>AM70-AM73</f>
        <v>1.375E-2</v>
      </c>
      <c r="AN74" s="605">
        <f>AN70-AN73</f>
        <v>3.8620000000000002E-2</v>
      </c>
      <c r="AO74" s="606">
        <f>AO70-AO73</f>
        <v>7.5649999999999995E-2</v>
      </c>
      <c r="AP74" s="607" t="s">
        <v>441</v>
      </c>
      <c r="AQ74" s="608">
        <f t="shared" ref="AQ74:BT74" si="30">AQ70-AQ73</f>
        <v>100</v>
      </c>
      <c r="AR74" s="608">
        <f t="shared" si="30"/>
        <v>360</v>
      </c>
      <c r="AS74" s="608">
        <f t="shared" si="30"/>
        <v>-1.2476829570826093E-2</v>
      </c>
      <c r="AT74" s="608">
        <f t="shared" si="30"/>
        <v>-1.091688638055073</v>
      </c>
      <c r="AU74" s="609">
        <f t="shared" si="30"/>
        <v>-3.9300790969982624</v>
      </c>
      <c r="AV74" s="584">
        <f t="shared" si="30"/>
        <v>377.1632435183854</v>
      </c>
      <c r="AW74" s="605">
        <f t="shared" si="30"/>
        <v>763.5436135543946</v>
      </c>
      <c r="AX74" s="605">
        <f t="shared" si="30"/>
        <v>9.2516643936096741E-3</v>
      </c>
      <c r="AY74" s="605">
        <f t="shared" si="30"/>
        <v>-0.16122129621738862</v>
      </c>
      <c r="AZ74" s="586">
        <f t="shared" si="30"/>
        <v>-0.70776266174259905</v>
      </c>
      <c r="BA74" s="608">
        <f t="shared" si="30"/>
        <v>976.51050493631863</v>
      </c>
      <c r="BB74" s="608">
        <f t="shared" si="30"/>
        <v>3188.3256921311199</v>
      </c>
      <c r="BC74" s="608">
        <f t="shared" si="30"/>
        <v>3.4977752247365101E-2</v>
      </c>
      <c r="BD74" s="608">
        <f t="shared" si="30"/>
        <v>-7.0484165906818788E-2</v>
      </c>
      <c r="BE74" s="590">
        <f t="shared" si="30"/>
        <v>-0.32462458318454768</v>
      </c>
      <c r="BF74" s="608">
        <f t="shared" si="30"/>
        <v>719.6499741665699</v>
      </c>
      <c r="BG74" s="608">
        <f t="shared" si="30"/>
        <v>2391.1990614804881</v>
      </c>
      <c r="BH74" s="608">
        <f t="shared" si="30"/>
        <v>2.74435052398928E-2</v>
      </c>
      <c r="BI74" s="608">
        <f t="shared" si="30"/>
        <v>1.9758377058938362E-2</v>
      </c>
      <c r="BJ74" s="590">
        <f t="shared" si="30"/>
        <v>6.8564151876854107E-2</v>
      </c>
      <c r="BK74" s="608">
        <f t="shared" si="30"/>
        <v>976.51050493631863</v>
      </c>
      <c r="BL74" s="608">
        <f t="shared" si="30"/>
        <v>3188.3256921311199</v>
      </c>
      <c r="BM74" s="608">
        <f t="shared" si="30"/>
        <v>3.4977752247365101E-2</v>
      </c>
      <c r="BN74" s="608">
        <f t="shared" si="30"/>
        <v>-7.0484165906818788E-2</v>
      </c>
      <c r="BO74" s="590">
        <f t="shared" si="30"/>
        <v>-0.32462458318454768</v>
      </c>
      <c r="BP74" s="608">
        <f t="shared" si="30"/>
        <v>1056.5105049363187</v>
      </c>
      <c r="BQ74" s="608">
        <f t="shared" si="30"/>
        <v>3476.3256921311199</v>
      </c>
      <c r="BR74" s="608">
        <f t="shared" si="30"/>
        <v>2.4996288590704234E-2</v>
      </c>
      <c r="BS74" s="608">
        <f t="shared" si="30"/>
        <v>-0.94383507635087704</v>
      </c>
      <c r="BT74" s="590">
        <f t="shared" si="30"/>
        <v>-3.4686878607831586</v>
      </c>
    </row>
    <row r="75" spans="1:72" s="27" customFormat="1" ht="18" customHeight="1" x14ac:dyDescent="0.25">
      <c r="A75" s="205"/>
      <c r="B75" s="715" t="s">
        <v>431</v>
      </c>
      <c r="C75" s="716"/>
      <c r="D75" s="717"/>
      <c r="E75" s="318" t="s">
        <v>418</v>
      </c>
      <c r="F75" s="373" t="s">
        <v>440</v>
      </c>
      <c r="G75" s="591"/>
      <c r="H75" s="592"/>
      <c r="I75" s="592">
        <f>'Energy &amp; Emissions Comparison'!$D$94*J75</f>
        <v>7.4700000000000001E-3</v>
      </c>
      <c r="J75" s="592">
        <f>IF(F75="Y",J65,0)</f>
        <v>0.498</v>
      </c>
      <c r="K75" s="610">
        <f>J75/'P C Data'!$M$68</f>
        <v>0.79679999999999995</v>
      </c>
      <c r="L75" s="545" t="s">
        <v>440</v>
      </c>
      <c r="M75" s="611"/>
      <c r="N75" s="612"/>
      <c r="O75" s="597">
        <f>'Energy &amp; Emissions Comparison'!$D$94*P75</f>
        <v>1.6376829570826094E-2</v>
      </c>
      <c r="P75" s="592">
        <f>IF(L75="Y",P65,0)</f>
        <v>1.091788638055073</v>
      </c>
      <c r="Q75" s="535">
        <f>P75/'Syncarb to rMgO Data'!$H$27</f>
        <v>3.9304390969982625</v>
      </c>
      <c r="R75" s="545" t="s">
        <v>440</v>
      </c>
      <c r="S75" s="611"/>
      <c r="T75" s="612"/>
      <c r="U75" s="597">
        <f>'Energy &amp; Emissions Comparison'!$D$94*V75</f>
        <v>1.6376829570826094E-2</v>
      </c>
      <c r="V75" s="612">
        <f>IF(R75="Y",V65,0)</f>
        <v>1.091788638055073</v>
      </c>
      <c r="W75" s="535">
        <f>V75/'Syncarb to rMgO Data'!$H$27</f>
        <v>3.9304390969982625</v>
      </c>
      <c r="X75" s="545" t="s">
        <v>440</v>
      </c>
      <c r="Y75" s="611"/>
      <c r="Z75" s="612"/>
      <c r="AA75" s="597">
        <f>'Energy &amp; Emissions Comparison'!$D$94*AB75</f>
        <v>1.1771576319543509E-2</v>
      </c>
      <c r="AB75" s="612">
        <f>IF(X75="Y",AB65,0)</f>
        <v>0.78477175463623394</v>
      </c>
      <c r="AC75" s="535">
        <f>AB75/'Lime Energy &amp; CO2 Data'!$H$27</f>
        <v>2.6211376604850214</v>
      </c>
      <c r="AD75" s="545" t="s">
        <v>435</v>
      </c>
      <c r="AE75" s="591"/>
      <c r="AF75" s="592"/>
      <c r="AG75" s="592"/>
      <c r="AH75" s="592"/>
      <c r="AI75" s="610"/>
      <c r="AJ75" s="545" t="s">
        <v>435</v>
      </c>
      <c r="AK75" s="591"/>
      <c r="AL75" s="592"/>
      <c r="AM75" s="592"/>
      <c r="AN75" s="592"/>
      <c r="AO75" s="610"/>
      <c r="AP75" s="545" t="s">
        <v>435</v>
      </c>
      <c r="AQ75" s="611"/>
      <c r="AR75" s="612"/>
      <c r="AS75" s="597">
        <f>'Energy &amp; Emissions Comparison'!$D$94*AT75</f>
        <v>0</v>
      </c>
      <c r="AT75" s="612">
        <f>IF(AP75="Y",AT65,0)</f>
        <v>0</v>
      </c>
      <c r="AU75" s="535">
        <f>AT75/'Syncarb to rMgO Data'!$H$27</f>
        <v>0</v>
      </c>
      <c r="AV75" s="591">
        <f t="shared" ref="AV75:AV76" si="31">(IF($AV$7&gt;0,$AV$7*$G75,0)+IF($AV$8&gt;0,$AV$8*$M75,0)+IF($AV$9&gt;0,$AV$9*$S75,0)+IF($AV$10&gt;0,$AV$10*$Y75,0)+IF($AV$11&gt;0,$AV$11*$AE75,0)+IF($AV$12&gt;0,$AV$12*$AK75,0)+IF($AV$19&gt;0,$AV$19*$AQ75,0))/100</f>
        <v>0</v>
      </c>
      <c r="AW75" s="592">
        <f t="shared" ref="AW75:AW76" si="32">(IF($AV$7&gt;0,$AV$7*$H75,0)+IF($AV$8&gt;0,$AV$8*$N75,0)+IF($AV$9&gt;0,$AV$9*$T75,0)+IF($AV$10&gt;0,$AV$10*$Z75,0)+IF($AV$11&gt;0,$AV$11*$AF75,0)+IF($AV$12&gt;0,$AV$12*$AL75,0)+IF($AV$19&gt;0,$AV$19*$AR75,0))/100</f>
        <v>0</v>
      </c>
      <c r="AX75" s="592">
        <f t="shared" ref="AX75:AX76" si="33">(IF($AV$7&gt;0,$AV$7*$I75,0)+IF($AV$8&gt;0,$AV$8*$O75,0)+IF($AV$9&gt;0,$AV$9*$U75,0)+IF($AV$10&gt;0,$AV$10*$AA75,0)+IF($AV$11&gt;0,$AV$11*$AG75,0)+IF($AV$12&gt;0,$AV$12*$AM75,0)+IF($AV$19&gt;0,$AV$19*$AS75,0))/100</f>
        <v>6.4572622178119573E-4</v>
      </c>
      <c r="AY75" s="592">
        <f t="shared" ref="AY75:AY76" si="34">(IF($AV$7&gt;0,$AV$7*$J75,0)+IF($AV$8&gt;0,$AV$8*$P75,0)+IF($AV$9&gt;0,$AV$9*$V75,0)+IF($AV$10&gt;0,$AV$10*$AB75,0)+IF($AV$11&gt;0,$AV$11*$AH75,0)+IF($AV$12&gt;0,$AV$12*$AN75,0)+IF($AV$19&gt;0,$AV$19*$AT75,0))/100</f>
        <v>4.304841478541304E-2</v>
      </c>
      <c r="AZ75" s="610">
        <f t="shared" ref="AZ75:AZ76" si="35">(IF($AV$7&gt;0,$AV$7*$K75,0)+IF($AV$8&gt;0,$AV$8*$Q75,0)+IF($AV$9&gt;0,$AV$9*$W75,0)+IF($AV$10&gt;0,$AV$10*$AC75,0)+IF($AV$11&gt;0,$AV$11*$AI75,0)+IF($AV$12&gt;0,$AV$12*$AO75,0)+IF($AV$19&gt;0,$AV$19*$AU75,0))/100</f>
        <v>8.5254293227486955E-2</v>
      </c>
      <c r="BA75" s="613">
        <f>(IF($BA$7&gt;0,$BA$7*$G75,0)+IF($BA$8&gt;0,$BA$8*$M75,0)+IF($BA$9&gt;0,$BA$9*$S75,0)+IF($BA$10&gt;0,$BA$10*$Y75,0)+IF($BA$11&gt;0,$BA$11*$AE75,0)+IF($BA$12&gt;0,$BA$12*$AK75,0)+IF($BA$19&gt;0,$BA$19*$AQ75,0))/100</f>
        <v>0</v>
      </c>
      <c r="BB75" s="612">
        <f>(IF($BA$7&gt;0,$BA$7*$H75,0)+IF($BA$8&gt;0,$BA$8*$N75,0)+IF($BA$9&gt;0,$BA$9*$T75,0)+IF($BA$10&gt;0,$BA$10*$Z75,0)+IF($BA$11&gt;0,$BA$11*$AF75,0)+IF($BA$12&gt;0,$BA$12*$AL75,0)+IF($BA$19&gt;0,$BA$19*$AR75,0))/100</f>
        <v>0</v>
      </c>
      <c r="BC75" s="597">
        <f>(IF($BA$7&gt;0,$BA$7*$I75,0)+IF($BA$8&gt;0,$BA$8*$O75,0)+IF($BA$9&gt;0,$BA$9*$U75,0)+IF($BA$10&gt;0,$BA$10*$AA75,0)+IF($BA$11&gt;0,$BA$11*$AG75,0)+IF($BA$12&gt;0,$BA$12*$AM75,0)+IF($BA$19&gt;0,$BA$19*$AS75,0))/100</f>
        <v>2.1002512527908703E-3</v>
      </c>
      <c r="BD75" s="612">
        <f>(IF($BA$7&gt;0,$BA$7*$J75,0)+IF($BA$8&gt;0,$BA$8*$P75,0)+IF($BA$9&gt;0,$BA$9*$V75,0)+IF($BA$10&gt;0,$BA$10*$AB75,0)+IF($BA$11&gt;0,$BA$11*$AH75,0)+IF($BA$12&gt;0,$BA$12*$AN75,0)+IF($BA$19&gt;0,$BA$19*$AT75,0))/100</f>
        <v>0.14001675018605803</v>
      </c>
      <c r="BE75" s="535">
        <f>(IF($BA$7&gt;0,$BA$7*$K75,0)+IF($BA$8&gt;0,$BA$8*$Q75,0)+IF($BA$9&gt;0,$BA$9*$W75,0)+IF($BA$10&gt;0,$BA$10*$AC75,0)+IF($BA$11&gt;0,$BA$11*$AI75,0)+IF($BA$12&gt;0,$BA$12*$AO75,0)+IF($BA$19&gt;0,$BA$19*$AU75,0))/100</f>
        <v>0.46422030066980891</v>
      </c>
      <c r="BF75" s="611">
        <f>(IF($BF$7&gt;0,$BF$7*$G75,0)+IF($BF$8&gt;0,$BF$8*$M75,0)+IF($BF$9&gt;0,$BF$9*$S75,0)+IF($BF$10&gt;0,$BF$10*$Y75,0)+IF($BF$11&gt;0,$BF$11*$AE75,0)+IF($BF$12&gt;0,$BF$12*$AK75,0)+IF($BF$19&gt;0,$BF$19*$AQ75,0))/100</f>
        <v>0</v>
      </c>
      <c r="BG75" s="612">
        <f>(IF($BF$7&gt;0,$BF$7*$H75,0)+IF($BF$8&gt;0,$BF$8*$N75,0)+IF($BF$9&gt;0,$BF$9*$T75,0)+IF($BF$10&gt;0,$BF$10*$Z75,0)+IF($BF$11&gt;0,$BF$11*$AF75,0)+IF($BF$12&gt;0,$BF$12*$AL75,0)+IF($BF$19&gt;0,$BF$19*$AR75,0))/100</f>
        <v>0</v>
      </c>
      <c r="BH75" s="597">
        <f>(IF($BF$7&gt;0,$BF$7*$I75,0)+IF($BF$8&gt;0,$BF$8*$O75,0)+IF($BF$9&gt;0,$BF$9*$U75,0)+IF($BF$10&gt;0,$BF$10*$AA75,0)+IF($BF$11&gt;0,$BF$11*$AG75,0)+IF($BF$12&gt;0,$BF$12*$AM75,0)+IF($BF$19&gt;0,$BF$19*$AS75,0))/100</f>
        <v>1.7657364479315262E-3</v>
      </c>
      <c r="BI75" s="612">
        <f>(IF($BF$7&gt;0,$BF$7*$J75,0)+IF($BF$8&gt;0,$BF$8*$P75,0)+IF($BF$9&gt;0,$BF$9*$V75,0)+IF($BF$10&gt;0,$BF$10*$AB75,0)+IF($BF$11&gt;0,$BF$11*$AH75,0)+IF($BF$12&gt;0,$BF$12*$AN75,0)+IF($BF$19&gt;0,$BF$19*$AT75,0))/100</f>
        <v>0.1177157631954351</v>
      </c>
      <c r="BJ75" s="535">
        <f>(IF($BF$7&gt;0,$BF$7*$K75,0)+IF($BF$8&gt;0,$BF$8*$Q75,0)+IF($BF$9&gt;0,$BF$9*$W75,0)+IF($BF$10&gt;0,$BF$10*$AC75,0)+IF($BF$11&gt;0,$BF$11*$AI75,0)+IF($BF$12&gt;0,$BF$12*$AO75,0)+IF($BF$19&gt;0,$BF$19*$AU75,0))/100</f>
        <v>0.39317064907275323</v>
      </c>
      <c r="BK75" s="611">
        <f>(IF($BK$7&gt;0,$BK$7*$G75,0)+IF($BK$8&gt;0,$BK$8*$M75,0)+IF($BK$9&gt;0,$BK$9*$S75,0)+IF($BK$10&gt;0,$BK$10*$Y75,0)+IF($BK$11&gt;0,$BK$11*$AE75,0)+IF($BK$12&gt;0,$BK$12*$AK75,0)+IF($BK$19&gt;0,$BK$19*$AQ75,0))/100</f>
        <v>0</v>
      </c>
      <c r="BL75" s="612">
        <f>(IF($BK$7&gt;0,$BK$7*$H75,0)+IF($BK$8&gt;0,$BK$8*$N75,0)+IF($BK$9&gt;0,$BK$9*$T75,0)+IF($BK$10&gt;0,$BK$10*$Z75,0)+IF($BK$11&gt;0,$BK$11*$AF75,0)+IF($BK$12&gt;0,$BK$12*$AL75,0)+IF($BK$19&gt;0,$BK$19*$AR75,0))/100</f>
        <v>0</v>
      </c>
      <c r="BM75" s="597">
        <f>(IF($BK$7&gt;0,$BK$7*$I75,0)+IF($BK$8&gt;0,$BK$8*$O75,0)+IF($BK$9&gt;0,$BK$9*$U75,0)+IF($BK$10&gt;0,$BK$10*$AA75,0)+IF($BK$11&gt;0,$BK$11*$AG75,0)+IF($BK$12&gt;0,$BK$12*$AM75,0)+IF($BK$19&gt;0,$BK$19*$AS75,0))/100</f>
        <v>2.1002512527908703E-3</v>
      </c>
      <c r="BN75" s="612">
        <f>(IF($BK$7&gt;0,$BK$7*$J75,0)+IF($BK$8&gt;0,$BK$8*$P75,0)+IF($BK$9&gt;0,$BK$9*$V75,0)+IF($BK$10&gt;0,$BK$10*$AB75,0)+IF($BK$11&gt;0,$BK$11*$AH75,0)+IF($BK$12&gt;0,$BK$12*$AN75,0)+IF($BK$19&gt;0,$BK$19*$AT75,0))/100</f>
        <v>0.14001675018605803</v>
      </c>
      <c r="BO75" s="535">
        <f>(IF($BK$7&gt;0,$BK$7*$K75,0)+IF($BK$8&gt;0,$BK$8*$Q75,0)+IF($BK$9&gt;0,$BK$9*$W75,0)+IF($BK$10&gt;0,$BK$10*$AC75,0)+IF($BK$11&gt;0,$BK$11*$AI75,0)+IF($BK$12&gt;0,$BK$12*$AO75,0)+IF($BK$19&gt;0,$BK$19*$AU75,0))/100</f>
        <v>0.46422030066980891</v>
      </c>
      <c r="BP75" s="611">
        <f>(IF($BP$7&gt;0,$BP$7*$G75,0)+IF($BP$8&gt;0,$BP$8*$M75,0)+IF($BP$9&gt;0,$BP$9*$S75,0)+IF($BP$10&gt;0,$BP$10*$Y75,0)+IF($BP$11&gt;0,$BP$11*$AE75,0)+IF($BP$12&gt;0,$BP$12*$AK75,0)+IF($BP$19&gt;0,$BP$19*$AQ75,0))/100</f>
        <v>0</v>
      </c>
      <c r="BQ75" s="612">
        <f>(IF($BP$7&gt;0,$BP$7*$H75,0)+IF($BP$8&gt;0,$BP$8*$N75,0)+IF($BP$9&gt;0,$BP$9*$T75,0)+IF($BP$10&gt;0,$BP$10*$Z75,0)+IF($BP$11&gt;0,$BP$11*$AF75,0)+IF($BP$12&gt;0,$BP$12*$AL75,0)+IF($BP$19&gt;0,$BP$19*$AR75,0))/100</f>
        <v>0</v>
      </c>
      <c r="BR75" s="597">
        <f>(IF($BP$7&gt;0,$BP$7*$I75,0)+IF($BP$8&gt;0,$BP$8*$O75,0)+IF($BP$9&gt;0,$BP$9*$U75,0)+IF($BP$10&gt;0,$BP$10*$AA75,0)+IF($BP$11&gt;0,$BP$11*$AG75,0)+IF($BP$12&gt;0,$BP$12*$AM75,0)+IF($BP$19&gt;0,$BP$19*$AS75,0))/100</f>
        <v>2.1002512527908703E-3</v>
      </c>
      <c r="BS75" s="612">
        <f>(IF($BP$7&gt;0,$BP$7*$J75,0)+IF($BP$8&gt;0,$BP$8*$P75,0)+IF($BP$9&gt;0,$BP$9*$V75,0)+IF($BP$10&gt;0,$BP$10*$AB75,0)+IF($BP$11&gt;0,$BP$11*$AH75,0)+IF($BP$12&gt;0,$BP$12*$AN75,0)+IF($BP$19&gt;0,$BP$19*$AT75,0))/100</f>
        <v>0.14001675018605803</v>
      </c>
      <c r="BT75" s="535">
        <f>(IF($BP$7&gt;0,$BP$7*$K75,0)+IF($BP$8&gt;0,$BP$8*$Q75,0)+IF($BP$9&gt;0,$BP$9*$W75,0)+IF($BP$10&gt;0,$BP$10*$AC75,0)+IF($BP$11&gt;0,$BP$11*$AI75,0)+IF($BP$12&gt;0,$BP$12*$AO75,0)+IF($BP$19&gt;0,$BP$19*$AU75,0))/100</f>
        <v>0.46422030066980891</v>
      </c>
    </row>
    <row r="76" spans="1:72" s="27" customFormat="1" ht="18.75" thickBot="1" x14ac:dyDescent="0.3">
      <c r="A76" s="205"/>
      <c r="B76" s="718"/>
      <c r="C76" s="719"/>
      <c r="D76" s="720"/>
      <c r="E76" s="319" t="s">
        <v>429</v>
      </c>
      <c r="F76" s="378" t="s">
        <v>440</v>
      </c>
      <c r="G76" s="614"/>
      <c r="H76" s="615"/>
      <c r="I76" s="615">
        <f>'Energy &amp; Emissions Comparison'!$D$94*J76</f>
        <v>2.1662999999999996E-5</v>
      </c>
      <c r="J76" s="615">
        <f>IF(F76="Y",G36*G37*J75,0)</f>
        <v>1.4441999999999999E-3</v>
      </c>
      <c r="K76" s="616">
        <f>J76/'P C Data'!$M$68</f>
        <v>2.3107199999999996E-3</v>
      </c>
      <c r="L76" s="617" t="s">
        <v>440</v>
      </c>
      <c r="M76" s="618"/>
      <c r="N76" s="619"/>
      <c r="O76" s="620">
        <f>'Energy &amp; Emissions Comparison'!$D$94*P76</f>
        <v>1.6376829570826094E-2</v>
      </c>
      <c r="P76" s="615">
        <f>IF(L76="Y",M36*M37*P75,0)</f>
        <v>1.091788638055073</v>
      </c>
      <c r="Q76" s="535">
        <f>P76/'Syncarb to rMgO Data'!$H$27</f>
        <v>3.9304390969982625</v>
      </c>
      <c r="R76" s="617" t="s">
        <v>440</v>
      </c>
      <c r="S76" s="621"/>
      <c r="T76" s="619"/>
      <c r="U76" s="620">
        <f>'Energy &amp; Emissions Comparison'!$D$94*V76</f>
        <v>1.6376829570826094E-2</v>
      </c>
      <c r="V76" s="620">
        <f>IF(R76="Y",S36*S37*V75,0)</f>
        <v>1.091788638055073</v>
      </c>
      <c r="W76" s="535">
        <f>V76/'Syncarb to rMgO Data'!$H$27</f>
        <v>3.9304390969982625</v>
      </c>
      <c r="X76" s="617" t="s">
        <v>440</v>
      </c>
      <c r="Y76" s="621"/>
      <c r="Z76" s="619"/>
      <c r="AA76" s="620">
        <f>'Energy &amp; Emissions Comparison'!$D$94*AB76</f>
        <v>1.1771576319543509E-2</v>
      </c>
      <c r="AB76" s="620">
        <f>IF(X76="Y",Y36*Y37*AB75,0)</f>
        <v>0.78477175463623394</v>
      </c>
      <c r="AC76" s="535">
        <f>AB76/'Lime Energy &amp; CO2 Data'!$H$27</f>
        <v>2.6211376604850214</v>
      </c>
      <c r="AD76" s="617" t="s">
        <v>435</v>
      </c>
      <c r="AE76" s="614"/>
      <c r="AF76" s="615"/>
      <c r="AG76" s="615"/>
      <c r="AH76" s="615"/>
      <c r="AI76" s="616"/>
      <c r="AJ76" s="617" t="s">
        <v>435</v>
      </c>
      <c r="AK76" s="614"/>
      <c r="AL76" s="615"/>
      <c r="AM76" s="615"/>
      <c r="AN76" s="615"/>
      <c r="AO76" s="616"/>
      <c r="AP76" s="617" t="s">
        <v>435</v>
      </c>
      <c r="AQ76" s="621"/>
      <c r="AR76" s="619"/>
      <c r="AS76" s="620">
        <f>'Energy &amp; Emissions Comparison'!$D$94*AT76</f>
        <v>0</v>
      </c>
      <c r="AT76" s="620">
        <f>IF(AP76="Y",AQ36*AQ37*AT75,0)</f>
        <v>0</v>
      </c>
      <c r="AU76" s="535">
        <f>AT76/'Syncarb to rMgO Data'!$H$27</f>
        <v>0</v>
      </c>
      <c r="AV76" s="614">
        <f t="shared" si="31"/>
        <v>0</v>
      </c>
      <c r="AW76" s="615">
        <f t="shared" si="32"/>
        <v>0</v>
      </c>
      <c r="AX76" s="615">
        <f t="shared" si="33"/>
        <v>1.2434263178119571E-4</v>
      </c>
      <c r="AY76" s="615">
        <f t="shared" si="34"/>
        <v>8.2895087854130481E-3</v>
      </c>
      <c r="AZ76" s="622">
        <f t="shared" si="35"/>
        <v>2.9640043627486966E-2</v>
      </c>
      <c r="BA76" s="618">
        <f>(IF($BA$7&gt;0,$BA$7*$G76,0)+IF($BA$8&gt;0,$BA$8*$M76,0)+IF($BA$9&gt;0,$BA$9*$S76,0)+IF($BA$10&gt;0,$BA$10*$Y76,0)+IF($BA$11&gt;0,$BA$11*$AE76,0)+IF($BA$12&gt;0,$BA$12*$AK76,0)+IF($BA$19&gt;0,$BA$19*$AQ76,0))/100</f>
        <v>0</v>
      </c>
      <c r="BB76" s="619">
        <f>(IF($BA$7&gt;0,$BA$7*$H76,0)+IF($BA$8&gt;0,$BA$8*$N76,0)+IF($BA$9&gt;0,$BA$9*$T76,0)+IF($BA$10&gt;0,$BA$10*$Z76,0)+IF($BA$11&gt;0,$BA$11*$AF76,0)+IF($BA$12&gt;0,$BA$12*$AL76,0)+IF($BA$19&gt;0,$BA$19*$AR76,0))/100</f>
        <v>0</v>
      </c>
      <c r="BC76" s="620">
        <f>(IF($BA$7&gt;0,$BA$7*$I76,0)+IF($BA$8&gt;0,$BA$8*$O76,0)+IF($BA$9&gt;0,$BA$9*$U76,0)+IF($BA$10&gt;0,$BA$10*$AA76,0)+IF($BA$11&gt;0,$BA$11*$AG76,0)+IF($BA$12&gt;0,$BA$12*$AM76,0)+IF($BA$19&gt;0,$BA$19*$AS76,0))/100</f>
        <v>1.80231777279087E-3</v>
      </c>
      <c r="BD76" s="620">
        <f>(IF($BA$7&gt;0,$BA$7*$J76,0)+IF($BA$8&gt;0,$BA$8*$P76,0)+IF($BA$9&gt;0,$BA$9*$V76,0)+IF($BA$10&gt;0,$BA$10*$AB76,0)+IF($BA$11&gt;0,$BA$11*$AH76,0)+IF($BA$12&gt;0,$BA$12*$AN76,0)+IF($BA$19&gt;0,$BA$19*$AT76,0))/100</f>
        <v>0.12015451818605802</v>
      </c>
      <c r="BE76" s="535">
        <f>(IF($BA$7&gt;0,$BA$7*$K76,0)+IF($BA$8&gt;0,$BA$8*$Q76,0)+IF($BA$9&gt;0,$BA$9*$W76,0)+IF($BA$10&gt;0,$BA$10*$AC76,0)+IF($BA$11&gt;0,$BA$11*$AI76,0)+IF($BA$12&gt;0,$BA$12*$AO76,0)+IF($BA$19&gt;0,$BA$19*$AU76,0))/100</f>
        <v>0.43244072946980894</v>
      </c>
      <c r="BF76" s="621">
        <f>(IF($BF$7&gt;0,$BF$7*$G76,0)+IF($BF$8&gt;0,$BF$8*$M76,0)+IF($BF$9&gt;0,$BF$9*$S76,0)+IF($BF$10&gt;0,$BF$10*$Y76,0)+IF($BF$11&gt;0,$BF$11*$AE76,0)+IF($BF$12&gt;0,$BF$12*$AK76,0)+IF($BF$19&gt;0,$BF$19*$AQ76,0))/100</f>
        <v>0</v>
      </c>
      <c r="BG76" s="619">
        <f>(IF($BF$7&gt;0,$BF$7*$H76,0)+IF($BF$8&gt;0,$BF$8*$N76,0)+IF($BF$9&gt;0,$BF$9*$T76,0)+IF($BF$10&gt;0,$BF$10*$Z76,0)+IF($BF$11&gt;0,$BF$11*$AF76,0)+IF($BF$12&gt;0,$BF$12*$AL76,0)+IF($BF$19&gt;0,$BF$19*$AR76,0))/100</f>
        <v>0</v>
      </c>
      <c r="BH76" s="620">
        <f>(IF($BF$7&gt;0,$BF$7*$I76,0)+IF($BF$8&gt;0,$BF$8*$O76,0)+IF($BF$9&gt;0,$BF$9*$U76,0)+IF($BF$10&gt;0,$BF$10*$AA76,0)+IF($BF$11&gt;0,$BF$11*$AG76,0)+IF($BF$12&gt;0,$BF$12*$AM76,0)+IF($BF$19&gt;0,$BF$19*$AS76,0))/100</f>
        <v>1.7657364479315262E-3</v>
      </c>
      <c r="BI76" s="620">
        <f>(IF($BF$7&gt;0,$BF$7*$J76,0)+IF($BF$8&gt;0,$BF$8*$P76,0)+IF($BF$9&gt;0,$BF$9*$V76,0)+IF($BF$10&gt;0,$BF$10*$AB76,0)+IF($BF$11&gt;0,$BF$11*$AH76,0)+IF($BF$12&gt;0,$BF$12*$AN76,0)+IF($BF$19&gt;0,$BF$19*$AT76,0))/100</f>
        <v>0.1177157631954351</v>
      </c>
      <c r="BJ76" s="535">
        <f>(IF($BF$7&gt;0,$BF$7*$K76,0)+IF($BF$8&gt;0,$BF$8*$Q76,0)+IF($BF$9&gt;0,$BF$9*$W76,0)+IF($BF$10&gt;0,$BF$10*$AC76,0)+IF($BF$11&gt;0,$BF$11*$AI76,0)+IF($BF$12&gt;0,$BF$12*$AO76,0)+IF($BF$19&gt;0,$BF$19*$AU76,0))/100</f>
        <v>0.39317064907275323</v>
      </c>
      <c r="BK76" s="621">
        <f>(IF($BK$7&gt;0,$BK$7*$G76,0)+IF($BK$8&gt;0,$BK$8*$M76,0)+IF($BK$9&gt;0,$BK$9*$S76,0)+IF($BK$10&gt;0,$BK$10*$Y76,0)+IF($BK$11&gt;0,$BK$11*$AE76,0)+IF($BK$12&gt;0,$BK$12*$AK76,0)+IF($BK$19&gt;0,$BK$19*$AQ76,0))/100</f>
        <v>0</v>
      </c>
      <c r="BL76" s="619">
        <f>(IF($BK$7&gt;0,$BK$7*$H76,0)+IF($BK$8&gt;0,$BK$8*$N76,0)+IF($BK$9&gt;0,$BK$9*$T76,0)+IF($BK$10&gt;0,$BK$10*$Z76,0)+IF($BK$11&gt;0,$BK$11*$AF76,0)+IF($BK$12&gt;0,$BK$12*$AL76,0)+IF($BK$19&gt;0,$BK$19*$AR76,0))/100</f>
        <v>0</v>
      </c>
      <c r="BM76" s="620">
        <f>(IF($BK$7&gt;0,$BK$7*$I76,0)+IF($BK$8&gt;0,$BK$8*$O76,0)+IF($BK$9&gt;0,$BK$9*$U76,0)+IF($BK$10&gt;0,$BK$10*$AA76,0)+IF($BK$11&gt;0,$BK$11*$AG76,0)+IF($BK$12&gt;0,$BK$12*$AM76,0)+IF($BK$19&gt;0,$BK$19*$AS76,0))/100</f>
        <v>1.80231777279087E-3</v>
      </c>
      <c r="BN76" s="620">
        <f>(IF($BK$7&gt;0,$BK$7*$J76,0)+IF($BK$8&gt;0,$BK$8*$P76,0)+IF($BK$9&gt;0,$BK$9*$V76,0)+IF($BK$10&gt;0,$BK$10*$AB76,0)+IF($BK$11&gt;0,$BK$11*$AH76,0)+IF($BK$12&gt;0,$BK$12*$AN76,0)+IF($BK$19&gt;0,$BK$19*$AT76,0))/100</f>
        <v>0.12015451818605802</v>
      </c>
      <c r="BO76" s="535">
        <f>(IF($BK$7&gt;0,$BK$7*$K76,0)+IF($BK$8&gt;0,$BK$8*$Q76,0)+IF($BK$9&gt;0,$BK$9*$W76,0)+IF($BK$10&gt;0,$BK$10*$AC76,0)+IF($BK$11&gt;0,$BK$11*$AI76,0)+IF($BK$12&gt;0,$BK$12*$AO76,0)+IF($BK$19&gt;0,$BK$19*$AU76,0))/100</f>
        <v>0.43244072946980894</v>
      </c>
      <c r="BP76" s="621">
        <f>(IF($BP$7&gt;0,$BP$7*$G76,0)+IF($BP$8&gt;0,$BP$8*$M76,0)+IF($BP$9&gt;0,$BP$9*$S76,0)+IF($BP$10&gt;0,$BP$10*$Y76,0)+IF($BP$11&gt;0,$BP$11*$AE76,0)+IF($BP$12&gt;0,$BP$12*$AK76,0)+IF($BP$19&gt;0,$BP$19*$AQ76,0))/100</f>
        <v>0</v>
      </c>
      <c r="BQ76" s="619">
        <f>(IF($BP$7&gt;0,$BP$7*$H76,0)+IF($BP$8&gt;0,$BP$8*$N76,0)+IF($BP$9&gt;0,$BP$9*$T76,0)+IF($BP$10&gt;0,$BP$10*$Z76,0)+IF($BP$11&gt;0,$BP$11*$AF76,0)+IF($BP$12&gt;0,$BP$12*$AL76,0)+IF($BP$19&gt;0,$BP$19*$AR76,0))/100</f>
        <v>0</v>
      </c>
      <c r="BR76" s="620">
        <f>(IF($BP$7&gt;0,$BP$7*$I76,0)+IF($BP$8&gt;0,$BP$8*$O76,0)+IF($BP$9&gt;0,$BP$9*$U76,0)+IF($BP$10&gt;0,$BP$10*$AA76,0)+IF($BP$11&gt;0,$BP$11*$AG76,0)+IF($BP$12&gt;0,$BP$12*$AM76,0)+IF($BP$19&gt;0,$BP$19*$AS76,0))/100</f>
        <v>1.80231777279087E-3</v>
      </c>
      <c r="BS76" s="620">
        <f>(IF($BP$7&gt;0,$BP$7*$J76,0)+IF($BP$8&gt;0,$BP$8*$P76,0)+IF($BP$9&gt;0,$BP$9*$V76,0)+IF($BP$10&gt;0,$BP$10*$AB76,0)+IF($BP$11&gt;0,$BP$11*$AH76,0)+IF($BP$12&gt;0,$BP$12*$AN76,0)+IF($BP$19&gt;0,$BP$19*$AT76,0))/100</f>
        <v>0.12015451818605802</v>
      </c>
      <c r="BT76" s="535">
        <f>(IF($BP$7&gt;0,$BP$7*$K76,0)+IF($BP$8&gt;0,$BP$8*$Q76,0)+IF($BP$9&gt;0,$BP$9*$W76,0)+IF($BP$10&gt;0,$BP$10*$AC76,0)+IF($BP$11&gt;0,$BP$11*$AI76,0)+IF($BP$12&gt;0,$BP$12*$AO76,0)+IF($BP$19&gt;0,$BP$19*$AU76,0))/100</f>
        <v>0.43244072946980894</v>
      </c>
    </row>
    <row r="77" spans="1:72" s="27" customFormat="1" ht="18.75" thickBot="1" x14ac:dyDescent="0.3">
      <c r="A77" s="205"/>
      <c r="B77" s="715" t="s">
        <v>422</v>
      </c>
      <c r="C77" s="716"/>
      <c r="D77" s="717"/>
      <c r="E77" s="351" t="s">
        <v>430</v>
      </c>
      <c r="F77" s="374" t="s">
        <v>441</v>
      </c>
      <c r="G77" s="528">
        <f>G74-G76</f>
        <v>3962.7200000000003</v>
      </c>
      <c r="H77" s="528">
        <f>H74-H76</f>
        <v>6340.3520000000008</v>
      </c>
      <c r="I77" s="528">
        <f>I74-I76</f>
        <v>0.126882417</v>
      </c>
      <c r="J77" s="528">
        <f>J74-J76</f>
        <v>0.88457562399999989</v>
      </c>
      <c r="K77" s="623">
        <f>K74-K76</f>
        <v>1.4153209983999999</v>
      </c>
      <c r="L77" s="624" t="s">
        <v>441</v>
      </c>
      <c r="M77" s="625">
        <f>M74-M76</f>
        <v>7436.3791357847149</v>
      </c>
      <c r="N77" s="531">
        <f>N74-N76</f>
        <v>26679.196473919266</v>
      </c>
      <c r="O77" s="531">
        <f>O74-O76</f>
        <v>0.25545579813249303</v>
      </c>
      <c r="P77" s="531">
        <f>P74-P76</f>
        <v>-2.0547428095716076</v>
      </c>
      <c r="Q77" s="626">
        <f>Q74-Q76</f>
        <v>-7.3970741144577863</v>
      </c>
      <c r="R77" s="624" t="s">
        <v>441</v>
      </c>
      <c r="S77" s="531">
        <f>S74-S76</f>
        <v>7514.3991357847153</v>
      </c>
      <c r="T77" s="531">
        <f>T74-T76</f>
        <v>26960.068473919266</v>
      </c>
      <c r="U77" s="531">
        <f>U74-U76</f>
        <v>0.27276270770331912</v>
      </c>
      <c r="V77" s="531">
        <f>V74-V76</f>
        <v>-0.94199854751653445</v>
      </c>
      <c r="W77" s="626">
        <f>W74-W76</f>
        <v>-3.3911947710595229</v>
      </c>
      <c r="X77" s="624" t="s">
        <v>441</v>
      </c>
      <c r="Y77" s="531">
        <f>Y74-Y76</f>
        <v>4797.6664944437998</v>
      </c>
      <c r="Z77" s="531">
        <f>Z74-Z76</f>
        <v>15941.327076536587</v>
      </c>
      <c r="AA77" s="531">
        <f>AA74-AA76</f>
        <v>0.17118512527974186</v>
      </c>
      <c r="AB77" s="531">
        <f>AB74-AB76</f>
        <v>-0.6530492409099784</v>
      </c>
      <c r="AC77" s="626">
        <f>AC74-AC76</f>
        <v>-2.1640433146393279</v>
      </c>
      <c r="AD77" s="624" t="s">
        <v>441</v>
      </c>
      <c r="AE77" s="528">
        <f>AE74-AE76</f>
        <v>400</v>
      </c>
      <c r="AF77" s="528">
        <f>AF74-AF76</f>
        <v>850</v>
      </c>
      <c r="AG77" s="528">
        <f>AG74-AG76</f>
        <v>1.375E-2</v>
      </c>
      <c r="AH77" s="528">
        <f>AH74-AH76</f>
        <v>3.8620000000000002E-2</v>
      </c>
      <c r="AI77" s="623">
        <f>AI74-AI76</f>
        <v>9.1639999999999999E-2</v>
      </c>
      <c r="AJ77" s="624" t="s">
        <v>441</v>
      </c>
      <c r="AK77" s="528">
        <f>AK74-AK76</f>
        <v>400</v>
      </c>
      <c r="AL77" s="528">
        <f>AL74-AL76</f>
        <v>737.5</v>
      </c>
      <c r="AM77" s="528">
        <f>AM74-AM76</f>
        <v>1.375E-2</v>
      </c>
      <c r="AN77" s="528">
        <f>AN74-AN76</f>
        <v>3.8620000000000002E-2</v>
      </c>
      <c r="AO77" s="623">
        <f>AO74-AO76</f>
        <v>7.5649999999999995E-2</v>
      </c>
      <c r="AP77" s="624" t="s">
        <v>441</v>
      </c>
      <c r="AQ77" s="531">
        <f t="shared" ref="AQ77:BT77" si="36">AQ74-AQ76</f>
        <v>100</v>
      </c>
      <c r="AR77" s="531">
        <f t="shared" si="36"/>
        <v>360</v>
      </c>
      <c r="AS77" s="531">
        <f t="shared" si="36"/>
        <v>-1.2476829570826093E-2</v>
      </c>
      <c r="AT77" s="531">
        <f t="shared" si="36"/>
        <v>-1.091688638055073</v>
      </c>
      <c r="AU77" s="626">
        <f t="shared" si="36"/>
        <v>-3.9300790969982624</v>
      </c>
      <c r="AV77" s="528">
        <f t="shared" si="36"/>
        <v>377.1632435183854</v>
      </c>
      <c r="AW77" s="528">
        <f t="shared" si="36"/>
        <v>763.5436135543946</v>
      </c>
      <c r="AX77" s="528">
        <f t="shared" si="36"/>
        <v>9.1273217618284778E-3</v>
      </c>
      <c r="AY77" s="528">
        <f t="shared" si="36"/>
        <v>-0.16951080500280166</v>
      </c>
      <c r="AZ77" s="627">
        <f t="shared" si="36"/>
        <v>-0.73740270537008601</v>
      </c>
      <c r="BA77" s="625">
        <f t="shared" si="36"/>
        <v>976.51050493631863</v>
      </c>
      <c r="BB77" s="531">
        <f t="shared" si="36"/>
        <v>3188.3256921311199</v>
      </c>
      <c r="BC77" s="531">
        <f t="shared" si="36"/>
        <v>3.3175434474574231E-2</v>
      </c>
      <c r="BD77" s="531">
        <f t="shared" si="36"/>
        <v>-0.19063868409287682</v>
      </c>
      <c r="BE77" s="626">
        <f t="shared" si="36"/>
        <v>-0.75706531265435661</v>
      </c>
      <c r="BF77" s="531">
        <f t="shared" si="36"/>
        <v>719.6499741665699</v>
      </c>
      <c r="BG77" s="531">
        <f t="shared" si="36"/>
        <v>2391.1990614804881</v>
      </c>
      <c r="BH77" s="531">
        <f t="shared" si="36"/>
        <v>2.5677768791961274E-2</v>
      </c>
      <c r="BI77" s="531">
        <f t="shared" si="36"/>
        <v>-9.7957386136496738E-2</v>
      </c>
      <c r="BJ77" s="626">
        <f t="shared" si="36"/>
        <v>-0.32460649719589912</v>
      </c>
      <c r="BK77" s="531">
        <f t="shared" si="36"/>
        <v>976.51050493631863</v>
      </c>
      <c r="BL77" s="531">
        <f t="shared" si="36"/>
        <v>3188.3256921311199</v>
      </c>
      <c r="BM77" s="531">
        <f t="shared" si="36"/>
        <v>3.3175434474574231E-2</v>
      </c>
      <c r="BN77" s="531">
        <f t="shared" si="36"/>
        <v>-0.19063868409287682</v>
      </c>
      <c r="BO77" s="626">
        <f t="shared" si="36"/>
        <v>-0.75706531265435661</v>
      </c>
      <c r="BP77" s="531">
        <f t="shared" si="36"/>
        <v>1056.5105049363187</v>
      </c>
      <c r="BQ77" s="531">
        <f t="shared" si="36"/>
        <v>3476.3256921311199</v>
      </c>
      <c r="BR77" s="531">
        <f t="shared" si="36"/>
        <v>2.3193970817913363E-2</v>
      </c>
      <c r="BS77" s="531">
        <f t="shared" si="36"/>
        <v>-1.0639895945369351</v>
      </c>
      <c r="BT77" s="626">
        <f t="shared" si="36"/>
        <v>-3.9011285902529673</v>
      </c>
    </row>
    <row r="78" spans="1:72" s="27" customFormat="1" x14ac:dyDescent="0.25">
      <c r="A78" s="205" t="s">
        <v>321</v>
      </c>
      <c r="B78" s="721"/>
      <c r="C78" s="722"/>
      <c r="D78" s="723"/>
      <c r="E78" s="346" t="s">
        <v>421</v>
      </c>
      <c r="F78" s="379" t="s">
        <v>441</v>
      </c>
      <c r="G78" s="628">
        <f>G59+G66+G69</f>
        <v>3962.7200000000003</v>
      </c>
      <c r="H78" s="629">
        <f>H59+H66+H69</f>
        <v>6340.3520000000008</v>
      </c>
      <c r="I78" s="629">
        <f>I59+I66+I69</f>
        <v>0.12690408</v>
      </c>
      <c r="J78" s="629">
        <f>J59+J66+J69</f>
        <v>0.8860198239999999</v>
      </c>
      <c r="K78" s="630">
        <f>K59+K66+K69</f>
        <v>1.4176317184</v>
      </c>
      <c r="L78" s="631" t="s">
        <v>441</v>
      </c>
      <c r="M78" s="632">
        <f>M59+M66+M69</f>
        <v>7468.8596357847146</v>
      </c>
      <c r="N78" s="633">
        <f>N59+N66+N69</f>
        <v>26796.126273919268</v>
      </c>
      <c r="O78" s="633">
        <f>O59+O66+O69</f>
        <v>0.30441705536642999</v>
      </c>
      <c r="P78" s="633">
        <f>P59+P66+P69</f>
        <v>1.1741537976908576</v>
      </c>
      <c r="Q78" s="634">
        <f>Q59+Q66+Q69</f>
        <v>4.2269536716870881</v>
      </c>
      <c r="R78" s="631" t="s">
        <v>441</v>
      </c>
      <c r="S78" s="635">
        <f>S59+S66+S69</f>
        <v>7546.879635784715</v>
      </c>
      <c r="T78" s="633">
        <f>T59+T66+T69</f>
        <v>27076.998273919267</v>
      </c>
      <c r="U78" s="633">
        <f>U59+U66+U69</f>
        <v>0.30534713536642999</v>
      </c>
      <c r="V78" s="633">
        <f>V59+V66+V69</f>
        <v>1.1951094216908578</v>
      </c>
      <c r="W78" s="634">
        <f>W59+W66+W69</f>
        <v>4.3023939180870885</v>
      </c>
      <c r="X78" s="631" t="s">
        <v>441</v>
      </c>
      <c r="Y78" s="635">
        <f>Y59+Y66+Y69</f>
        <v>4830.1469944437995</v>
      </c>
      <c r="Z78" s="633">
        <f>Z59+Z66+Z69</f>
        <v>16049.811946536587</v>
      </c>
      <c r="AA78" s="633">
        <f>AA59+AA66+AA69</f>
        <v>0.19478930910285169</v>
      </c>
      <c r="AB78" s="633">
        <f>AB59+AB66+AB69</f>
        <v>0.88537580563067775</v>
      </c>
      <c r="AC78" s="634">
        <f>AC59+AC66+AC69</f>
        <v>2.9742963408064638</v>
      </c>
      <c r="AD78" s="631" t="s">
        <v>441</v>
      </c>
      <c r="AE78" s="628">
        <f>AE59+AE66+AE69</f>
        <v>400</v>
      </c>
      <c r="AF78" s="629">
        <f>AF59+AF66+AF69</f>
        <v>850</v>
      </c>
      <c r="AG78" s="629">
        <f>AG59+AG66+AG69</f>
        <v>1.375E-2</v>
      </c>
      <c r="AH78" s="629">
        <f>AH59+AH66+AH69</f>
        <v>3.8620000000000002E-2</v>
      </c>
      <c r="AI78" s="630">
        <f>AI59+AI66+AI69</f>
        <v>9.1639999999999999E-2</v>
      </c>
      <c r="AJ78" s="631" t="s">
        <v>441</v>
      </c>
      <c r="AK78" s="628">
        <f>AK59+AK66+AK69</f>
        <v>400</v>
      </c>
      <c r="AL78" s="629">
        <f>AL59+AL66+AL69</f>
        <v>737.5</v>
      </c>
      <c r="AM78" s="629">
        <f>AM59+AM66+AM69</f>
        <v>1.375E-2</v>
      </c>
      <c r="AN78" s="629">
        <f>AN59+AN66+AN69</f>
        <v>3.8620000000000002E-2</v>
      </c>
      <c r="AO78" s="630">
        <f>AO59+AO66+AO69</f>
        <v>7.5649999999999995E-2</v>
      </c>
      <c r="AP78" s="631" t="s">
        <v>441</v>
      </c>
      <c r="AQ78" s="635">
        <f t="shared" ref="AQ78:BT78" si="37">AQ59+AQ66+AQ69</f>
        <v>100</v>
      </c>
      <c r="AR78" s="633">
        <f t="shared" si="37"/>
        <v>360</v>
      </c>
      <c r="AS78" s="633">
        <f t="shared" si="37"/>
        <v>3.8999999999999998E-3</v>
      </c>
      <c r="AT78" s="633">
        <f t="shared" si="37"/>
        <v>9.9999999999999991E-5</v>
      </c>
      <c r="AU78" s="634">
        <f t="shared" si="37"/>
        <v>3.5999999999999997E-4</v>
      </c>
      <c r="AV78" s="628">
        <f t="shared" si="37"/>
        <v>377.40684726838538</v>
      </c>
      <c r="AW78" s="629">
        <f t="shared" si="37"/>
        <v>764.42058705439456</v>
      </c>
      <c r="AX78" s="629">
        <f t="shared" si="37"/>
        <v>1.2771413515248225E-2</v>
      </c>
      <c r="AY78" s="629">
        <f t="shared" si="37"/>
        <v>7.3164741162681429E-2</v>
      </c>
      <c r="AZ78" s="636">
        <f t="shared" si="37"/>
        <v>0.13602707282565313</v>
      </c>
      <c r="BA78" s="632">
        <f t="shared" si="37"/>
        <v>980.08335993631863</v>
      </c>
      <c r="BB78" s="633">
        <f t="shared" si="37"/>
        <v>3201.18797013112</v>
      </c>
      <c r="BC78" s="633">
        <f t="shared" si="37"/>
        <v>3.8562039290307305E-2</v>
      </c>
      <c r="BD78" s="633">
        <f t="shared" si="37"/>
        <v>0.16459771070599435</v>
      </c>
      <c r="BE78" s="634">
        <f t="shared" si="37"/>
        <v>0.52167017262157966</v>
      </c>
      <c r="BF78" s="635">
        <f t="shared" si="37"/>
        <v>724.5220491665699</v>
      </c>
      <c r="BG78" s="633">
        <f t="shared" si="37"/>
        <v>2407.471791980488</v>
      </c>
      <c r="BH78" s="633">
        <f t="shared" si="37"/>
        <v>2.9218396365427751E-2</v>
      </c>
      <c r="BI78" s="633">
        <f t="shared" si="37"/>
        <v>0.13280637084460167</v>
      </c>
      <c r="BJ78" s="634">
        <f t="shared" si="37"/>
        <v>0.44614445112096962</v>
      </c>
      <c r="BK78" s="635">
        <f t="shared" si="37"/>
        <v>980.08335993631863</v>
      </c>
      <c r="BL78" s="633">
        <f t="shared" si="37"/>
        <v>3201.18797013112</v>
      </c>
      <c r="BM78" s="633">
        <f t="shared" si="37"/>
        <v>3.8562039290307305E-2</v>
      </c>
      <c r="BN78" s="633">
        <f t="shared" si="37"/>
        <v>0.16459771070599435</v>
      </c>
      <c r="BO78" s="634">
        <f t="shared" si="37"/>
        <v>0.52167017262157966</v>
      </c>
      <c r="BP78" s="635">
        <f t="shared" si="37"/>
        <v>1060.0833599363186</v>
      </c>
      <c r="BQ78" s="633">
        <f t="shared" si="37"/>
        <v>3489.18797013112</v>
      </c>
      <c r="BR78" s="633">
        <f t="shared" si="37"/>
        <v>4.1682039290307303E-2</v>
      </c>
      <c r="BS78" s="633">
        <f t="shared" si="37"/>
        <v>0.16467771070599435</v>
      </c>
      <c r="BT78" s="634">
        <f t="shared" si="37"/>
        <v>0.52195817262157962</v>
      </c>
    </row>
    <row r="79" spans="1:72" s="27" customFormat="1" x14ac:dyDescent="0.25">
      <c r="A79" s="205"/>
      <c r="B79" s="721"/>
      <c r="C79" s="722"/>
      <c r="D79" s="723"/>
      <c r="E79" s="352" t="s">
        <v>432</v>
      </c>
      <c r="F79" s="379" t="s">
        <v>441</v>
      </c>
      <c r="G79" s="637">
        <f>G60+G73+G76</f>
        <v>0</v>
      </c>
      <c r="H79" s="638">
        <f>H60+H73+H76</f>
        <v>0</v>
      </c>
      <c r="I79" s="638">
        <f>I60+I73+I76</f>
        <v>2.1662999999999996E-5</v>
      </c>
      <c r="J79" s="638">
        <f>J60+J73+J76</f>
        <v>1.4441999999999999E-3</v>
      </c>
      <c r="K79" s="639">
        <f>K60+K73+K76</f>
        <v>2.3107199999999996E-3</v>
      </c>
      <c r="L79" s="631" t="s">
        <v>441</v>
      </c>
      <c r="M79" s="640">
        <f>M60+M73+M76</f>
        <v>32.480499999999999</v>
      </c>
      <c r="N79" s="641">
        <f>N60+N73+N76</f>
        <v>116.92979999999999</v>
      </c>
      <c r="O79" s="641">
        <f>O60+O73+O76</f>
        <v>4.8961257233936975E-2</v>
      </c>
      <c r="P79" s="641">
        <f>P60+P73+P76</f>
        <v>3.228896607262465</v>
      </c>
      <c r="Q79" s="642">
        <f>Q60+Q73+Q76</f>
        <v>11.624027786144875</v>
      </c>
      <c r="R79" s="631" t="s">
        <v>441</v>
      </c>
      <c r="S79" s="640">
        <f>S60+S73+S76</f>
        <v>32.480499999999999</v>
      </c>
      <c r="T79" s="641">
        <f>T60+T73+T76</f>
        <v>116.92979999999999</v>
      </c>
      <c r="U79" s="641">
        <f>U60+U73+U76</f>
        <v>3.2584427663110885E-2</v>
      </c>
      <c r="V79" s="641">
        <f>V60+V73+V76</f>
        <v>2.137107969207392</v>
      </c>
      <c r="W79" s="642">
        <f>W60+W73+W76</f>
        <v>7.6935886891466119</v>
      </c>
      <c r="X79" s="631" t="s">
        <v>441</v>
      </c>
      <c r="Y79" s="640">
        <f>Y60+Y73+Y76</f>
        <v>32.480499999999999</v>
      </c>
      <c r="Z79" s="641">
        <f>Z60+Z73+Z76</f>
        <v>108.48487</v>
      </c>
      <c r="AA79" s="641">
        <f>AA60+AA73+AA76</f>
        <v>2.3604183823109842E-2</v>
      </c>
      <c r="AB79" s="641">
        <f>AB60+AB73+AB76</f>
        <v>1.5384250465406561</v>
      </c>
      <c r="AC79" s="642">
        <f>AC60+AC73+AC76</f>
        <v>5.1383396554457921</v>
      </c>
      <c r="AD79" s="631" t="s">
        <v>441</v>
      </c>
      <c r="AE79" s="637">
        <f>AE60+AE73+AE76</f>
        <v>0</v>
      </c>
      <c r="AF79" s="638">
        <f>AF60+AF73+AF76</f>
        <v>0</v>
      </c>
      <c r="AG79" s="638">
        <f>AG60+AG73+AG76</f>
        <v>0</v>
      </c>
      <c r="AH79" s="638">
        <f>AH60+AH73+AH76</f>
        <v>0</v>
      </c>
      <c r="AI79" s="639">
        <f>AI60+AI73+AI76</f>
        <v>0</v>
      </c>
      <c r="AJ79" s="631" t="s">
        <v>441</v>
      </c>
      <c r="AK79" s="637">
        <f>AK60+AK73+AK76</f>
        <v>0</v>
      </c>
      <c r="AL79" s="638">
        <f>AL60+AL73+AL76</f>
        <v>0</v>
      </c>
      <c r="AM79" s="638">
        <f>AM60+AM73+AM76</f>
        <v>0</v>
      </c>
      <c r="AN79" s="638">
        <f>AN60+AN73+AN76</f>
        <v>0</v>
      </c>
      <c r="AO79" s="639">
        <f>AO60+AO73+AO76</f>
        <v>0</v>
      </c>
      <c r="AP79" s="631" t="s">
        <v>441</v>
      </c>
      <c r="AQ79" s="640">
        <f t="shared" ref="AQ79:BT79" si="38">AQ60+AQ73+AQ76</f>
        <v>0</v>
      </c>
      <c r="AR79" s="641">
        <f t="shared" si="38"/>
        <v>0</v>
      </c>
      <c r="AS79" s="641">
        <f t="shared" si="38"/>
        <v>1.6376829570826094E-2</v>
      </c>
      <c r="AT79" s="641">
        <f t="shared" si="38"/>
        <v>1.091788638055073</v>
      </c>
      <c r="AU79" s="642">
        <f t="shared" si="38"/>
        <v>3.9304390969982625</v>
      </c>
      <c r="AV79" s="637">
        <f t="shared" si="38"/>
        <v>0.24360374999999998</v>
      </c>
      <c r="AW79" s="638">
        <f t="shared" si="38"/>
        <v>0.87697349999999985</v>
      </c>
      <c r="AX79" s="638">
        <f t="shared" si="38"/>
        <v>3.6440917534197466E-3</v>
      </c>
      <c r="AY79" s="638">
        <f t="shared" si="38"/>
        <v>0.24267554616548309</v>
      </c>
      <c r="AZ79" s="643">
        <f t="shared" si="38"/>
        <v>0.87342977819573919</v>
      </c>
      <c r="BA79" s="640">
        <f t="shared" si="38"/>
        <v>3.5728550000000001</v>
      </c>
      <c r="BB79" s="641">
        <f t="shared" si="38"/>
        <v>12.862277999999998</v>
      </c>
      <c r="BC79" s="641">
        <f t="shared" si="38"/>
        <v>5.3866048157330667E-3</v>
      </c>
      <c r="BD79" s="641">
        <f t="shared" si="38"/>
        <v>0.35523639479887115</v>
      </c>
      <c r="BE79" s="642">
        <f t="shared" si="38"/>
        <v>1.2787354852759363</v>
      </c>
      <c r="BF79" s="640">
        <f t="shared" si="38"/>
        <v>4.8720749999999997</v>
      </c>
      <c r="BG79" s="641">
        <f t="shared" si="38"/>
        <v>16.272730500000002</v>
      </c>
      <c r="BH79" s="641">
        <f t="shared" si="38"/>
        <v>3.5406275734664759E-3</v>
      </c>
      <c r="BI79" s="641">
        <f t="shared" si="38"/>
        <v>0.23076375698109841</v>
      </c>
      <c r="BJ79" s="642">
        <f t="shared" si="38"/>
        <v>0.77075094831686874</v>
      </c>
      <c r="BK79" s="640">
        <f t="shared" si="38"/>
        <v>3.5728550000000001</v>
      </c>
      <c r="BL79" s="641">
        <f t="shared" si="38"/>
        <v>12.862277999999998</v>
      </c>
      <c r="BM79" s="641">
        <f t="shared" si="38"/>
        <v>5.3866048157330667E-3</v>
      </c>
      <c r="BN79" s="641">
        <f t="shared" si="38"/>
        <v>0.35523639479887115</v>
      </c>
      <c r="BO79" s="642">
        <f t="shared" si="38"/>
        <v>1.2787354852759363</v>
      </c>
      <c r="BP79" s="640">
        <f t="shared" si="38"/>
        <v>3.5728550000000001</v>
      </c>
      <c r="BQ79" s="641">
        <f t="shared" si="38"/>
        <v>12.862277999999998</v>
      </c>
      <c r="BR79" s="641">
        <f t="shared" si="38"/>
        <v>1.8488068472393943E-2</v>
      </c>
      <c r="BS79" s="641">
        <f t="shared" si="38"/>
        <v>1.2286673052429296</v>
      </c>
      <c r="BT79" s="642">
        <f t="shared" si="38"/>
        <v>4.4230867628745472</v>
      </c>
    </row>
    <row r="80" spans="1:72" s="27" customFormat="1" ht="18.75" thickBot="1" x14ac:dyDescent="0.3">
      <c r="A80" s="205"/>
      <c r="B80" s="718"/>
      <c r="C80" s="719"/>
      <c r="D80" s="720"/>
      <c r="E80" s="353" t="s">
        <v>426</v>
      </c>
      <c r="F80" s="379" t="s">
        <v>441</v>
      </c>
      <c r="G80" s="644">
        <f>G78-G79</f>
        <v>3962.7200000000003</v>
      </c>
      <c r="H80" s="645">
        <f>H78-H79</f>
        <v>6340.3520000000008</v>
      </c>
      <c r="I80" s="645">
        <f>I78-I79</f>
        <v>0.126882417</v>
      </c>
      <c r="J80" s="645">
        <f>J78-J79</f>
        <v>0.88457562399999989</v>
      </c>
      <c r="K80" s="646">
        <f>K78-K79</f>
        <v>1.4153209983999999</v>
      </c>
      <c r="L80" s="647" t="s">
        <v>441</v>
      </c>
      <c r="M80" s="648">
        <f>M78-M79</f>
        <v>7436.3791357847149</v>
      </c>
      <c r="N80" s="649">
        <f>N78-N79</f>
        <v>26679.196473919266</v>
      </c>
      <c r="O80" s="649">
        <f>O78-O79</f>
        <v>0.25545579813249303</v>
      </c>
      <c r="P80" s="649">
        <f>P78-P79</f>
        <v>-2.0547428095716072</v>
      </c>
      <c r="Q80" s="650">
        <f>Q78-Q79</f>
        <v>-7.3970741144577872</v>
      </c>
      <c r="R80" s="647" t="s">
        <v>441</v>
      </c>
      <c r="S80" s="651">
        <f>S78-S79</f>
        <v>7514.3991357847153</v>
      </c>
      <c r="T80" s="649">
        <f>T78-T79</f>
        <v>26960.068473919266</v>
      </c>
      <c r="U80" s="649">
        <f>U78-U79</f>
        <v>0.27276270770331912</v>
      </c>
      <c r="V80" s="649">
        <f>V78-V79</f>
        <v>-0.94199854751653422</v>
      </c>
      <c r="W80" s="650">
        <f>W78-W79</f>
        <v>-3.3911947710595234</v>
      </c>
      <c r="X80" s="647" t="s">
        <v>441</v>
      </c>
      <c r="Y80" s="651">
        <f>Y78-Y79</f>
        <v>4797.6664944437998</v>
      </c>
      <c r="Z80" s="649">
        <f>Z78-Z79</f>
        <v>15941.327076536587</v>
      </c>
      <c r="AA80" s="649">
        <f>AA78-AA79</f>
        <v>0.17118512527974186</v>
      </c>
      <c r="AB80" s="649">
        <f>AB78-AB79</f>
        <v>-0.6530492409099784</v>
      </c>
      <c r="AC80" s="650">
        <f>AC78-AC79</f>
        <v>-2.1640433146393283</v>
      </c>
      <c r="AD80" s="647" t="s">
        <v>441</v>
      </c>
      <c r="AE80" s="644">
        <f>AE78-AE79</f>
        <v>400</v>
      </c>
      <c r="AF80" s="645">
        <f>AF78-AF79</f>
        <v>850</v>
      </c>
      <c r="AG80" s="645">
        <f>AG78-AG79</f>
        <v>1.375E-2</v>
      </c>
      <c r="AH80" s="645">
        <f>AH78-AH79</f>
        <v>3.8620000000000002E-2</v>
      </c>
      <c r="AI80" s="646">
        <f>AI78-AI79</f>
        <v>9.1639999999999999E-2</v>
      </c>
      <c r="AJ80" s="647" t="s">
        <v>441</v>
      </c>
      <c r="AK80" s="644">
        <f>AK78-AK79</f>
        <v>400</v>
      </c>
      <c r="AL80" s="645">
        <f>AL78-AL79</f>
        <v>737.5</v>
      </c>
      <c r="AM80" s="645">
        <f>AM78-AM79</f>
        <v>1.375E-2</v>
      </c>
      <c r="AN80" s="645">
        <f>AN78-AN79</f>
        <v>3.8620000000000002E-2</v>
      </c>
      <c r="AO80" s="646">
        <f>AO78-AO79</f>
        <v>7.5649999999999995E-2</v>
      </c>
      <c r="AP80" s="647" t="s">
        <v>441</v>
      </c>
      <c r="AQ80" s="651">
        <f t="shared" ref="AQ80:BT80" si="39">AQ78-AQ79</f>
        <v>100</v>
      </c>
      <c r="AR80" s="649">
        <f t="shared" si="39"/>
        <v>360</v>
      </c>
      <c r="AS80" s="649">
        <f t="shared" si="39"/>
        <v>-1.2476829570826093E-2</v>
      </c>
      <c r="AT80" s="649">
        <f t="shared" si="39"/>
        <v>-1.091688638055073</v>
      </c>
      <c r="AU80" s="650">
        <f t="shared" si="39"/>
        <v>-3.9300790969982624</v>
      </c>
      <c r="AV80" s="651">
        <f t="shared" si="39"/>
        <v>377.1632435183854</v>
      </c>
      <c r="AW80" s="649">
        <f t="shared" si="39"/>
        <v>763.5436135543946</v>
      </c>
      <c r="AX80" s="649">
        <f t="shared" si="39"/>
        <v>9.1273217618284778E-3</v>
      </c>
      <c r="AY80" s="649">
        <f t="shared" si="39"/>
        <v>-0.16951080500280166</v>
      </c>
      <c r="AZ80" s="650">
        <f t="shared" si="39"/>
        <v>-0.73740270537008601</v>
      </c>
      <c r="BA80" s="651">
        <f t="shared" si="39"/>
        <v>976.51050493631863</v>
      </c>
      <c r="BB80" s="649">
        <f t="shared" si="39"/>
        <v>3188.3256921311199</v>
      </c>
      <c r="BC80" s="649">
        <f t="shared" si="39"/>
        <v>3.3175434474574238E-2</v>
      </c>
      <c r="BD80" s="649">
        <f t="shared" si="39"/>
        <v>-0.19063868409287679</v>
      </c>
      <c r="BE80" s="650">
        <f t="shared" si="39"/>
        <v>-0.75706531265435661</v>
      </c>
      <c r="BF80" s="651">
        <f t="shared" si="39"/>
        <v>719.6499741665699</v>
      </c>
      <c r="BG80" s="649">
        <f t="shared" si="39"/>
        <v>2391.1990614804881</v>
      </c>
      <c r="BH80" s="649">
        <f t="shared" si="39"/>
        <v>2.5677768791961274E-2</v>
      </c>
      <c r="BI80" s="649">
        <f t="shared" si="39"/>
        <v>-9.7957386136496738E-2</v>
      </c>
      <c r="BJ80" s="650">
        <f t="shared" si="39"/>
        <v>-0.32460649719589912</v>
      </c>
      <c r="BK80" s="651">
        <f t="shared" si="39"/>
        <v>976.51050493631863</v>
      </c>
      <c r="BL80" s="649">
        <f t="shared" si="39"/>
        <v>3188.3256921311199</v>
      </c>
      <c r="BM80" s="649">
        <f t="shared" si="39"/>
        <v>3.3175434474574238E-2</v>
      </c>
      <c r="BN80" s="649">
        <f t="shared" si="39"/>
        <v>-0.19063868409287679</v>
      </c>
      <c r="BO80" s="650">
        <f t="shared" si="39"/>
        <v>-0.75706531265435661</v>
      </c>
      <c r="BP80" s="651">
        <f t="shared" si="39"/>
        <v>1056.5105049363187</v>
      </c>
      <c r="BQ80" s="649">
        <f t="shared" si="39"/>
        <v>3476.3256921311199</v>
      </c>
      <c r="BR80" s="649">
        <f t="shared" si="39"/>
        <v>2.319397081791336E-2</v>
      </c>
      <c r="BS80" s="649">
        <f t="shared" si="39"/>
        <v>-1.0639895945369351</v>
      </c>
      <c r="BT80" s="650">
        <f t="shared" si="39"/>
        <v>-3.9011285902529673</v>
      </c>
    </row>
    <row r="81" spans="1:72" s="27" customFormat="1" x14ac:dyDescent="0.25">
      <c r="A81" s="62"/>
      <c r="B81" s="439"/>
      <c r="C81" s="439"/>
      <c r="D81" s="439"/>
      <c r="E81" s="440"/>
      <c r="F81" s="380"/>
      <c r="G81" s="308"/>
      <c r="H81" s="309"/>
      <c r="I81" s="309"/>
      <c r="J81" s="310"/>
      <c r="K81" s="310"/>
      <c r="L81" s="392"/>
      <c r="M81" s="208"/>
      <c r="N81" s="209"/>
      <c r="O81" s="209"/>
      <c r="P81" s="208"/>
      <c r="Q81" s="209"/>
      <c r="R81" s="392"/>
      <c r="S81" s="208"/>
      <c r="T81" s="208"/>
      <c r="U81" s="208"/>
      <c r="V81" s="208"/>
      <c r="W81" s="209"/>
      <c r="X81" s="392"/>
      <c r="Y81" s="208"/>
      <c r="Z81" s="208"/>
      <c r="AA81" s="208"/>
      <c r="AB81" s="208"/>
      <c r="AC81" s="209"/>
      <c r="AD81" s="392"/>
      <c r="AE81" s="208"/>
      <c r="AF81" s="208"/>
      <c r="AG81" s="208"/>
      <c r="AH81" s="208"/>
      <c r="AI81" s="209"/>
      <c r="AJ81" s="392"/>
      <c r="AK81" s="208"/>
      <c r="AL81" s="208"/>
      <c r="AM81" s="208"/>
      <c r="AN81" s="208"/>
      <c r="AO81" s="209"/>
      <c r="AP81" s="209"/>
      <c r="AQ81" s="209"/>
      <c r="AR81" s="209"/>
      <c r="AS81" s="209"/>
      <c r="AT81" s="209"/>
      <c r="AU81" s="209"/>
      <c r="AV81" s="208"/>
      <c r="AW81" s="208"/>
      <c r="AX81" s="208"/>
      <c r="AY81" s="210"/>
      <c r="AZ81" s="210"/>
      <c r="BA81" s="208"/>
      <c r="BB81" s="208"/>
      <c r="BC81" s="208"/>
      <c r="BD81" s="208"/>
      <c r="BE81" s="208"/>
      <c r="BF81" s="208"/>
      <c r="BG81" s="208"/>
      <c r="BH81" s="208"/>
      <c r="BI81" s="208"/>
      <c r="BJ81" s="208"/>
      <c r="BK81" s="208"/>
      <c r="BL81" s="208"/>
      <c r="BM81" s="208"/>
      <c r="BN81" s="208"/>
      <c r="BO81" s="208"/>
      <c r="BP81" s="208"/>
      <c r="BQ81" s="208"/>
      <c r="BR81" s="208"/>
      <c r="BS81" s="208"/>
      <c r="BT81" s="208"/>
    </row>
    <row r="82" spans="1:72" ht="21" thickBot="1" x14ac:dyDescent="0.35">
      <c r="A82" s="169"/>
      <c r="B82" s="273"/>
      <c r="C82" s="273"/>
      <c r="D82" s="273"/>
      <c r="E82" s="207"/>
      <c r="F82" s="380"/>
      <c r="G82" s="270"/>
      <c r="H82" s="270"/>
      <c r="I82" s="270"/>
      <c r="J82" s="270"/>
      <c r="K82" s="271"/>
      <c r="L82" s="393"/>
      <c r="M82" s="270"/>
      <c r="N82" s="271"/>
      <c r="O82" s="271"/>
      <c r="P82" s="270"/>
      <c r="Q82" s="271"/>
      <c r="R82" s="393"/>
      <c r="S82" s="270"/>
      <c r="T82" s="270"/>
      <c r="U82" s="270"/>
      <c r="V82" s="281"/>
      <c r="W82" s="271"/>
      <c r="X82" s="393"/>
      <c r="Y82" s="270"/>
      <c r="Z82" s="270"/>
      <c r="AA82" s="270"/>
      <c r="AB82" s="270"/>
      <c r="AC82" s="271"/>
      <c r="AD82" s="393"/>
      <c r="AE82" s="270"/>
      <c r="AF82" s="270"/>
      <c r="AG82" s="270"/>
      <c r="AH82" s="270"/>
      <c r="AI82" s="270"/>
      <c r="AJ82" s="393"/>
      <c r="AK82" s="271"/>
      <c r="AL82" s="270"/>
      <c r="AM82" s="270"/>
      <c r="AN82" s="270"/>
      <c r="AO82" s="270"/>
      <c r="AP82" s="368"/>
      <c r="AQ82" s="449"/>
      <c r="AR82" s="450"/>
      <c r="AS82" s="11"/>
      <c r="AT82" s="11"/>
      <c r="AU82" s="11"/>
      <c r="AV82" s="271"/>
      <c r="AW82" s="270"/>
      <c r="AX82" s="270"/>
      <c r="AY82" s="270"/>
      <c r="AZ82" s="272"/>
      <c r="BA82" s="272"/>
      <c r="BB82" s="270"/>
      <c r="BC82" s="270"/>
      <c r="BD82" s="270"/>
      <c r="BE82" s="270"/>
      <c r="BF82" s="270"/>
      <c r="BG82" s="270"/>
      <c r="BH82" s="270"/>
      <c r="BI82" s="270"/>
      <c r="BJ82" s="270"/>
      <c r="BK82" s="270"/>
      <c r="BL82" s="270"/>
      <c r="BM82" s="270"/>
      <c r="BN82" s="270"/>
      <c r="BO82" s="270"/>
      <c r="BP82" s="270"/>
      <c r="BQ82" s="270"/>
      <c r="BR82" s="270"/>
      <c r="BS82" s="270"/>
      <c r="BT82" s="270"/>
    </row>
    <row r="83" spans="1:72" x14ac:dyDescent="0.25">
      <c r="A83" s="355"/>
      <c r="B83" s="190" t="s">
        <v>196</v>
      </c>
      <c r="C83" s="190"/>
      <c r="D83" s="190"/>
      <c r="E83" s="173"/>
      <c r="F83" s="359"/>
      <c r="G83" s="274"/>
      <c r="H83" s="11"/>
      <c r="I83" s="11"/>
      <c r="J83" s="11"/>
      <c r="K83" s="11"/>
      <c r="L83" s="358"/>
      <c r="M83" s="11"/>
      <c r="N83" s="284"/>
      <c r="O83" s="284"/>
      <c r="P83" s="11"/>
      <c r="Q83" s="11"/>
      <c r="R83" s="358"/>
      <c r="S83" s="11"/>
      <c r="T83" s="11"/>
      <c r="U83" s="11"/>
      <c r="V83" s="282"/>
      <c r="W83" s="11"/>
      <c r="X83" s="358"/>
      <c r="Y83" s="11"/>
      <c r="Z83" s="11"/>
      <c r="AA83" s="11"/>
      <c r="AB83" s="11"/>
      <c r="AC83" s="11"/>
      <c r="AD83" s="358"/>
      <c r="AE83" s="11"/>
      <c r="AF83" s="11"/>
      <c r="AG83" s="11"/>
      <c r="AH83" s="11"/>
      <c r="AI83" s="11"/>
      <c r="AJ83" s="358"/>
      <c r="AK83" s="11"/>
      <c r="AL83" s="11"/>
      <c r="AM83" s="11"/>
      <c r="AN83" s="11"/>
      <c r="AO83" s="11"/>
      <c r="AP83" s="368"/>
      <c r="AQ83" s="438"/>
      <c r="AR83" s="368"/>
      <c r="AS83" s="156"/>
      <c r="AT83" s="156"/>
      <c r="AU83" s="300"/>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x14ac:dyDescent="0.25">
      <c r="A84" s="355"/>
      <c r="B84" s="193" t="s">
        <v>3</v>
      </c>
      <c r="C84" s="654"/>
      <c r="D84" s="654"/>
      <c r="E84" s="174" t="s">
        <v>4</v>
      </c>
      <c r="F84" s="359"/>
      <c r="G84" s="274"/>
      <c r="H84" s="4"/>
      <c r="I84" s="300"/>
      <c r="J84" s="4"/>
      <c r="K84" s="4"/>
      <c r="L84" s="368"/>
      <c r="M84" s="156" t="s">
        <v>461</v>
      </c>
      <c r="N84" s="288"/>
      <c r="O84" s="288"/>
      <c r="P84" s="251"/>
      <c r="Q84" s="251"/>
      <c r="R84" s="368"/>
      <c r="S84" s="4"/>
      <c r="T84" s="4"/>
      <c r="U84" s="300"/>
      <c r="V84" s="4"/>
      <c r="W84" s="4"/>
      <c r="X84" s="368"/>
      <c r="Y84" s="4"/>
      <c r="Z84" s="4"/>
      <c r="AA84" s="300"/>
      <c r="AB84" s="4"/>
      <c r="AC84" s="4"/>
      <c r="AD84" s="368"/>
      <c r="AE84" s="4"/>
      <c r="AF84" s="4"/>
      <c r="AG84" s="300"/>
      <c r="AH84" s="4"/>
      <c r="AI84" s="4"/>
      <c r="AJ84" s="368"/>
      <c r="AK84" s="4"/>
      <c r="AL84" s="4"/>
      <c r="AM84" s="300"/>
      <c r="AN84" s="4"/>
      <c r="AO84" s="4"/>
      <c r="AU84" s="300"/>
      <c r="AV84" s="4"/>
      <c r="AW84" s="4"/>
      <c r="AX84" s="4"/>
      <c r="AY84" s="4"/>
      <c r="AZ84" s="4"/>
      <c r="BA84" s="4"/>
      <c r="BB84" s="4"/>
      <c r="BC84" s="300"/>
      <c r="BD84" s="4"/>
      <c r="BE84" s="4"/>
      <c r="BF84" s="4"/>
      <c r="BG84" s="4"/>
      <c r="BH84" s="300"/>
      <c r="BI84" s="4"/>
      <c r="BJ84" s="4"/>
      <c r="BK84" s="4"/>
      <c r="BL84" s="4"/>
      <c r="BM84" s="300"/>
      <c r="BN84" s="11"/>
      <c r="BO84" s="11"/>
      <c r="BP84" s="340"/>
      <c r="BQ84" s="340"/>
      <c r="BR84" s="340"/>
      <c r="BS84" s="11"/>
      <c r="BT84" s="11"/>
    </row>
    <row r="85" spans="1:72" x14ac:dyDescent="0.25">
      <c r="A85" s="205"/>
      <c r="B85" s="194"/>
      <c r="C85" s="655"/>
      <c r="D85" s="655"/>
      <c r="E85" s="20" t="s">
        <v>5</v>
      </c>
      <c r="F85" s="358"/>
      <c r="G85" s="4"/>
      <c r="H85" s="4"/>
      <c r="I85" s="300"/>
      <c r="J85" s="4"/>
      <c r="K85" s="4"/>
      <c r="L85" s="368"/>
      <c r="M85" s="251"/>
      <c r="N85" s="288"/>
      <c r="O85" s="288"/>
      <c r="P85" s="251"/>
      <c r="Q85" s="251"/>
      <c r="R85" s="368"/>
      <c r="S85" s="4"/>
      <c r="T85" s="4"/>
      <c r="U85" s="300"/>
      <c r="V85" s="4"/>
      <c r="W85" s="4"/>
      <c r="X85" s="368"/>
      <c r="Y85" s="4"/>
      <c r="Z85" s="4"/>
      <c r="AA85" s="300"/>
      <c r="AB85" s="4"/>
      <c r="AC85" s="4"/>
      <c r="AD85" s="368"/>
      <c r="AE85" s="4"/>
      <c r="AF85" s="4"/>
      <c r="AG85" s="300"/>
      <c r="AH85" s="4"/>
      <c r="AI85" s="4"/>
      <c r="AJ85" s="368"/>
      <c r="AK85" s="4"/>
      <c r="AL85" s="4"/>
      <c r="AM85" s="300"/>
      <c r="AN85" s="4"/>
      <c r="AO85" s="4"/>
      <c r="AP85" s="242"/>
      <c r="AQ85" s="358"/>
      <c r="AR85" s="312"/>
      <c r="AS85" s="312"/>
      <c r="AT85" s="312"/>
      <c r="AU85" s="312"/>
      <c r="AV85" s="4"/>
      <c r="AW85" s="4"/>
      <c r="AX85" s="4"/>
      <c r="AY85" s="4"/>
      <c r="AZ85" s="4"/>
      <c r="BA85" s="4"/>
      <c r="BB85" s="4"/>
      <c r="BC85" s="300"/>
      <c r="BD85" s="4"/>
      <c r="BE85" s="4"/>
      <c r="BF85" s="4"/>
      <c r="BG85" s="4"/>
      <c r="BH85" s="300"/>
      <c r="BI85" s="4"/>
      <c r="BJ85" s="4"/>
      <c r="BK85" s="4"/>
      <c r="BL85" s="4"/>
      <c r="BM85" s="300"/>
      <c r="BN85" s="11"/>
      <c r="BO85" s="11"/>
      <c r="BP85" s="340"/>
      <c r="BQ85" s="340"/>
      <c r="BR85" s="340"/>
      <c r="BS85" s="11"/>
      <c r="BT85" s="11"/>
    </row>
    <row r="86" spans="1:72" x14ac:dyDescent="0.25">
      <c r="A86" s="204"/>
      <c r="B86" s="195"/>
      <c r="C86" s="656"/>
      <c r="D86" s="656"/>
      <c r="E86" s="37" t="s">
        <v>6</v>
      </c>
      <c r="F86" s="358"/>
      <c r="G86" s="4"/>
      <c r="H86" s="4"/>
      <c r="I86" s="300"/>
      <c r="J86" s="4"/>
      <c r="K86" s="4"/>
      <c r="L86" s="368"/>
      <c r="M86" s="251"/>
      <c r="N86" s="288"/>
      <c r="O86" s="288"/>
      <c r="P86" s="251"/>
      <c r="Q86" s="251"/>
      <c r="R86" s="368"/>
      <c r="S86" s="4"/>
      <c r="T86" s="4"/>
      <c r="U86" s="300"/>
      <c r="V86" s="4"/>
      <c r="W86" s="4"/>
      <c r="X86" s="368"/>
      <c r="Y86" s="4"/>
      <c r="Z86" s="4"/>
      <c r="AA86" s="300"/>
      <c r="AB86" s="4"/>
      <c r="AC86" s="4"/>
      <c r="AD86" s="368"/>
      <c r="AE86" s="4"/>
      <c r="AF86" s="4"/>
      <c r="AG86" s="300"/>
      <c r="AH86" s="4"/>
      <c r="AI86" s="4"/>
      <c r="AJ86" s="368"/>
      <c r="AK86" s="4"/>
      <c r="AL86" s="4"/>
      <c r="AM86" s="300"/>
      <c r="AN86" s="4"/>
      <c r="AO86" s="4"/>
      <c r="AP86" s="368"/>
      <c r="AQ86" s="267"/>
      <c r="AR86" s="267"/>
      <c r="AS86" s="300"/>
      <c r="AT86" s="267"/>
      <c r="AU86" s="267"/>
      <c r="AV86" s="4"/>
      <c r="AW86" s="4"/>
      <c r="AX86" s="300"/>
      <c r="AY86" s="4"/>
      <c r="AZ86" s="4"/>
      <c r="BA86" s="4"/>
      <c r="BB86" s="4"/>
      <c r="BC86" s="300"/>
      <c r="BD86" s="4"/>
      <c r="BE86" s="4"/>
      <c r="BF86" s="4"/>
      <c r="BG86" s="4"/>
      <c r="BH86" s="300"/>
      <c r="BI86" s="4"/>
      <c r="BJ86" s="4"/>
      <c r="BK86" s="4"/>
      <c r="BL86" s="4"/>
      <c r="BM86" s="300"/>
      <c r="BN86" s="11"/>
      <c r="BO86" s="11"/>
      <c r="BP86" s="340"/>
      <c r="BQ86" s="340"/>
      <c r="BR86" s="340"/>
      <c r="BS86" s="11"/>
      <c r="BT86" s="11"/>
    </row>
    <row r="87" spans="1:72" x14ac:dyDescent="0.25">
      <c r="A87" s="204"/>
      <c r="B87" s="196"/>
      <c r="C87" s="657"/>
      <c r="D87" s="657"/>
      <c r="E87" s="20" t="s">
        <v>7</v>
      </c>
      <c r="F87" s="358"/>
      <c r="G87" s="4"/>
      <c r="H87" s="4"/>
      <c r="I87" s="300"/>
      <c r="J87" s="4"/>
      <c r="K87" s="4"/>
      <c r="L87" s="368"/>
      <c r="M87" s="251"/>
      <c r="N87" s="288"/>
      <c r="O87" s="288"/>
      <c r="P87" s="251"/>
      <c r="Q87" s="251"/>
      <c r="R87" s="368"/>
      <c r="S87" s="4"/>
      <c r="T87" s="4"/>
      <c r="U87" s="300"/>
      <c r="V87" s="4"/>
      <c r="W87" s="4"/>
      <c r="X87" s="368"/>
      <c r="Y87" s="4"/>
      <c r="Z87" s="4"/>
      <c r="AA87" s="300"/>
      <c r="AB87" s="4"/>
      <c r="AC87" s="4"/>
      <c r="AD87" s="368"/>
      <c r="AE87" s="4"/>
      <c r="AF87" s="4"/>
      <c r="AG87" s="300"/>
      <c r="AH87" s="4"/>
      <c r="AI87" s="4"/>
      <c r="AJ87" s="368"/>
      <c r="AK87" s="4"/>
      <c r="AL87" s="4"/>
      <c r="AM87" s="300"/>
      <c r="AN87" s="4"/>
      <c r="AO87" s="4"/>
      <c r="AP87" s="368"/>
      <c r="AQ87" s="267"/>
      <c r="AR87" s="267"/>
      <c r="AS87" s="300"/>
      <c r="AT87" s="267"/>
      <c r="AU87" s="267"/>
      <c r="AV87" s="4"/>
      <c r="AW87" s="4"/>
      <c r="AX87" s="300"/>
      <c r="AY87" s="4"/>
      <c r="AZ87" s="4"/>
      <c r="BA87" s="4"/>
      <c r="BB87" s="4"/>
      <c r="BC87" s="300"/>
      <c r="BD87" s="4"/>
      <c r="BE87" s="4"/>
      <c r="BF87" s="4"/>
      <c r="BG87" s="4"/>
      <c r="BH87" s="300"/>
      <c r="BI87" s="4"/>
      <c r="BJ87" s="4"/>
      <c r="BK87" s="4"/>
      <c r="BL87" s="4"/>
      <c r="BM87" s="300"/>
      <c r="BN87" s="11"/>
      <c r="BO87" s="11"/>
      <c r="BP87" s="340"/>
      <c r="BQ87" s="340"/>
      <c r="BR87" s="340"/>
      <c r="BS87" s="11"/>
      <c r="BT87" s="11"/>
    </row>
    <row r="88" spans="1:72" x14ac:dyDescent="0.25">
      <c r="A88" s="204"/>
      <c r="B88" s="197"/>
      <c r="C88" s="658"/>
      <c r="D88" s="658"/>
      <c r="E88" s="20" t="s">
        <v>145</v>
      </c>
      <c r="F88" s="358"/>
      <c r="G88" s="4"/>
      <c r="H88" s="4"/>
      <c r="I88" s="300"/>
      <c r="J88" s="4"/>
      <c r="K88" s="4"/>
      <c r="L88" s="368"/>
      <c r="M88" s="251"/>
      <c r="N88" s="288"/>
      <c r="O88" s="288"/>
      <c r="P88" s="251"/>
      <c r="Q88" s="251"/>
      <c r="R88" s="368"/>
      <c r="S88" s="4"/>
      <c r="T88" s="4"/>
      <c r="U88" s="300"/>
      <c r="V88" s="4"/>
      <c r="W88" s="4"/>
      <c r="X88" s="368"/>
      <c r="Y88" s="4"/>
      <c r="Z88" s="4"/>
      <c r="AA88" s="300"/>
      <c r="AB88" s="4"/>
      <c r="AC88" s="4"/>
      <c r="AD88" s="368"/>
      <c r="AE88" s="4"/>
      <c r="AF88" s="4"/>
      <c r="AG88" s="300"/>
      <c r="AH88" s="4"/>
      <c r="AI88" s="4"/>
      <c r="AJ88" s="368"/>
      <c r="AK88" s="4"/>
      <c r="AL88" s="4"/>
      <c r="AM88" s="300"/>
      <c r="AN88" s="4"/>
      <c r="AO88" s="4"/>
      <c r="AP88" s="368"/>
      <c r="AQ88" s="269"/>
      <c r="AR88" s="269"/>
      <c r="AS88" s="300"/>
      <c r="AT88" s="269"/>
      <c r="AU88" s="269"/>
      <c r="AV88" s="4"/>
      <c r="AW88" s="4"/>
      <c r="AX88" s="300"/>
      <c r="AY88" s="4"/>
      <c r="AZ88" s="4"/>
      <c r="BA88" s="4"/>
      <c r="BB88" s="4"/>
      <c r="BC88" s="300"/>
      <c r="BD88" s="4"/>
      <c r="BE88" s="4"/>
      <c r="BF88" s="4"/>
      <c r="BG88" s="4"/>
      <c r="BH88" s="300"/>
      <c r="BI88" s="4"/>
      <c r="BJ88" s="4"/>
      <c r="BK88" s="4"/>
      <c r="BL88" s="4"/>
      <c r="BM88" s="300"/>
      <c r="BN88" s="11"/>
      <c r="BO88" s="11"/>
      <c r="BP88" s="340"/>
      <c r="BQ88" s="340"/>
      <c r="BR88" s="340"/>
      <c r="BS88" s="11"/>
      <c r="BT88" s="11"/>
    </row>
    <row r="89" spans="1:72" x14ac:dyDescent="0.25">
      <c r="A89" s="204"/>
      <c r="B89" s="277"/>
      <c r="C89" s="659"/>
      <c r="D89" s="659"/>
      <c r="E89" s="279" t="s">
        <v>378</v>
      </c>
      <c r="F89" s="358"/>
      <c r="G89" s="269"/>
      <c r="H89" s="269"/>
      <c r="I89" s="300"/>
      <c r="J89" s="269"/>
      <c r="K89" s="269"/>
      <c r="L89" s="368"/>
      <c r="M89" s="269"/>
      <c r="N89" s="288"/>
      <c r="O89" s="288"/>
      <c r="P89" s="269"/>
      <c r="Q89" s="269"/>
      <c r="R89" s="368"/>
      <c r="S89" s="269"/>
      <c r="T89" s="269"/>
      <c r="U89" s="300"/>
      <c r="V89" s="269"/>
      <c r="W89" s="269"/>
      <c r="X89" s="368"/>
      <c r="Y89" s="269"/>
      <c r="Z89" s="269"/>
      <c r="AA89" s="300"/>
      <c r="AB89" s="269"/>
      <c r="AC89" s="269"/>
      <c r="AD89" s="368"/>
      <c r="AE89" s="269"/>
      <c r="AF89" s="269"/>
      <c r="AG89" s="300"/>
      <c r="AH89" s="269"/>
      <c r="AI89" s="269"/>
      <c r="AJ89" s="368"/>
      <c r="AK89" s="269"/>
      <c r="AL89" s="269"/>
      <c r="AM89" s="300"/>
      <c r="AN89" s="269"/>
      <c r="AO89" s="269"/>
      <c r="AP89" s="368"/>
      <c r="AQ89" s="269"/>
      <c r="AR89" s="269"/>
      <c r="AS89" s="300"/>
      <c r="AT89" s="269"/>
      <c r="AU89" s="269"/>
      <c r="AV89" s="269"/>
      <c r="AW89" s="269"/>
      <c r="AX89" s="300"/>
      <c r="AY89" s="269"/>
      <c r="AZ89" s="269"/>
      <c r="BA89" s="269"/>
      <c r="BB89" s="269"/>
      <c r="BC89" s="300"/>
      <c r="BD89" s="269"/>
      <c r="BE89" s="269"/>
      <c r="BF89" s="269"/>
      <c r="BG89" s="269"/>
      <c r="BH89" s="300"/>
      <c r="BI89" s="269"/>
      <c r="BJ89" s="269"/>
      <c r="BK89" s="269"/>
      <c r="BL89" s="269"/>
      <c r="BM89" s="300"/>
      <c r="BN89" s="11"/>
      <c r="BO89" s="11"/>
      <c r="BP89" s="340"/>
      <c r="BQ89" s="340"/>
      <c r="BR89" s="340"/>
      <c r="BS89" s="11"/>
      <c r="BT89" s="11"/>
    </row>
    <row r="90" spans="1:72" x14ac:dyDescent="0.25">
      <c r="A90" s="204"/>
      <c r="B90" s="278"/>
      <c r="C90" s="660"/>
      <c r="D90" s="660"/>
      <c r="E90" s="279" t="s">
        <v>379</v>
      </c>
      <c r="F90" s="358"/>
      <c r="G90" s="269"/>
      <c r="H90" s="269"/>
      <c r="I90" s="300"/>
      <c r="J90" s="269"/>
      <c r="K90" s="269"/>
      <c r="L90" s="368"/>
      <c r="M90" s="269"/>
      <c r="N90" s="288"/>
      <c r="O90" s="288"/>
      <c r="P90" s="269"/>
      <c r="Q90" s="269"/>
      <c r="R90" s="368"/>
      <c r="S90" s="269"/>
      <c r="T90" s="269"/>
      <c r="U90" s="300"/>
      <c r="V90" s="269"/>
      <c r="W90" s="269"/>
      <c r="X90" s="368"/>
      <c r="Y90" s="269"/>
      <c r="Z90" s="269"/>
      <c r="AA90" s="300"/>
      <c r="AB90" s="269"/>
      <c r="AC90" s="269"/>
      <c r="AD90" s="368"/>
      <c r="AE90" s="269"/>
      <c r="AF90" s="269"/>
      <c r="AG90" s="300"/>
      <c r="AH90" s="269"/>
      <c r="AI90" s="269"/>
      <c r="AJ90" s="368"/>
      <c r="AK90" s="269"/>
      <c r="AL90" s="269"/>
      <c r="AM90" s="300"/>
      <c r="AN90" s="269"/>
      <c r="AO90" s="269"/>
      <c r="AP90" s="368"/>
      <c r="AQ90" s="267"/>
      <c r="AR90" s="267"/>
      <c r="AS90" s="300"/>
      <c r="AT90" s="267"/>
      <c r="AU90" s="267"/>
      <c r="AV90" s="269"/>
      <c r="AW90" s="269"/>
      <c r="AX90" s="300"/>
      <c r="AY90" s="269"/>
      <c r="AZ90" s="269"/>
      <c r="BA90" s="269"/>
      <c r="BB90" s="269"/>
      <c r="BC90" s="300"/>
      <c r="BD90" s="269"/>
      <c r="BE90" s="269"/>
      <c r="BF90" s="269"/>
      <c r="BG90" s="269"/>
      <c r="BH90" s="300"/>
      <c r="BI90" s="269"/>
      <c r="BJ90" s="269"/>
      <c r="BK90" s="269"/>
      <c r="BL90" s="269"/>
      <c r="BM90" s="300"/>
      <c r="BN90" s="11"/>
      <c r="BO90" s="11"/>
      <c r="BP90" s="340"/>
      <c r="BQ90" s="340"/>
      <c r="BR90" s="340"/>
      <c r="BS90" s="11"/>
      <c r="BT90" s="11"/>
    </row>
    <row r="91" spans="1:72" ht="18.75" thickBot="1" x14ac:dyDescent="0.3">
      <c r="A91" s="204"/>
      <c r="B91" s="215"/>
      <c r="C91" s="661"/>
      <c r="D91" s="661"/>
      <c r="E91" s="21" t="s">
        <v>16</v>
      </c>
      <c r="F91" s="358"/>
      <c r="G91" s="4"/>
      <c r="H91" s="4"/>
      <c r="I91" s="300"/>
      <c r="J91" s="4"/>
      <c r="K91" s="4"/>
      <c r="L91" s="368"/>
      <c r="M91" s="251"/>
      <c r="N91" s="288"/>
      <c r="O91" s="288"/>
      <c r="P91" s="251"/>
      <c r="Q91" s="251"/>
      <c r="R91" s="368"/>
      <c r="S91" s="4"/>
      <c r="T91" s="4"/>
      <c r="U91" s="300"/>
      <c r="V91" s="4"/>
      <c r="W91" s="4"/>
      <c r="X91" s="368"/>
      <c r="Y91" s="4"/>
      <c r="Z91" s="4"/>
      <c r="AA91" s="300"/>
      <c r="AB91" s="4"/>
      <c r="AC91" s="4"/>
      <c r="AD91" s="368"/>
      <c r="AE91" s="4"/>
      <c r="AF91" s="4"/>
      <c r="AG91" s="300"/>
      <c r="AH91" s="4"/>
      <c r="AI91" s="4"/>
      <c r="AJ91" s="368"/>
      <c r="AK91" s="4"/>
      <c r="AL91" s="4"/>
      <c r="AM91" s="300"/>
      <c r="AN91" s="4"/>
      <c r="AO91" s="4"/>
      <c r="AV91" s="4"/>
      <c r="AW91" s="4"/>
      <c r="AX91" s="300"/>
      <c r="AY91" s="4"/>
      <c r="AZ91" s="4"/>
      <c r="BA91" s="4"/>
      <c r="BB91" s="4"/>
      <c r="BC91" s="300"/>
      <c r="BD91" s="4"/>
      <c r="BE91" s="4"/>
      <c r="BF91" s="4"/>
      <c r="BG91" s="4"/>
      <c r="BH91" s="300"/>
      <c r="BI91" s="4"/>
      <c r="BJ91" s="4"/>
      <c r="BK91" s="4"/>
      <c r="BL91" s="4"/>
      <c r="BM91" s="300"/>
      <c r="BN91" s="11"/>
      <c r="BO91" s="11"/>
      <c r="BP91" s="340"/>
      <c r="BQ91" s="340"/>
      <c r="BR91" s="340"/>
      <c r="BS91" s="11"/>
      <c r="BT91" s="11"/>
    </row>
    <row r="92" spans="1:72" ht="18.75" thickBot="1" x14ac:dyDescent="0.3"/>
    <row r="93" spans="1:72" ht="18.75" thickBot="1" x14ac:dyDescent="0.3">
      <c r="C93" s="671" t="s">
        <v>406</v>
      </c>
      <c r="D93" s="662" t="s">
        <v>407</v>
      </c>
    </row>
    <row r="94" spans="1:72" ht="18.75" thickBot="1" x14ac:dyDescent="0.3">
      <c r="B94" s="653" t="s">
        <v>405</v>
      </c>
      <c r="C94" s="672">
        <v>15</v>
      </c>
      <c r="D94" s="317">
        <f>C94/1000</f>
        <v>1.4999999999999999E-2</v>
      </c>
      <c r="F94" s="358"/>
    </row>
    <row r="95" spans="1:72" x14ac:dyDescent="0.25">
      <c r="AP95" s="358"/>
      <c r="AQ95" s="11"/>
      <c r="AR95" s="11"/>
      <c r="AS95" s="11"/>
      <c r="AT95" s="11"/>
      <c r="AU95" s="11"/>
    </row>
    <row r="96" spans="1:72" x14ac:dyDescent="0.25">
      <c r="A96" s="1"/>
      <c r="B96" s="243" t="s">
        <v>434</v>
      </c>
      <c r="C96" s="243"/>
      <c r="D96" s="243"/>
      <c r="E96" s="242"/>
      <c r="F96" s="358"/>
      <c r="G96" s="214"/>
      <c r="H96" s="11"/>
      <c r="I96" s="11"/>
      <c r="J96" s="11"/>
      <c r="K96" s="11"/>
      <c r="L96" s="358"/>
      <c r="M96" s="11"/>
      <c r="N96" s="284"/>
      <c r="O96" s="284"/>
      <c r="P96" s="11"/>
      <c r="Q96" s="11"/>
      <c r="R96" s="358"/>
      <c r="S96" s="11"/>
      <c r="T96" s="11"/>
      <c r="U96" s="11"/>
      <c r="V96" s="11"/>
      <c r="W96" s="11"/>
      <c r="X96" s="358"/>
      <c r="Y96" s="11"/>
      <c r="Z96" s="11"/>
      <c r="AA96" s="11"/>
      <c r="AB96" s="11"/>
      <c r="AC96" s="11"/>
      <c r="AD96" s="358"/>
      <c r="AE96" s="11"/>
      <c r="AF96" s="11"/>
      <c r="AG96" s="11"/>
      <c r="AH96" s="11"/>
      <c r="AI96" s="11"/>
      <c r="AJ96" s="358"/>
      <c r="AK96" s="11"/>
      <c r="AL96" s="11"/>
      <c r="AM96" s="11"/>
      <c r="AN96" s="11"/>
      <c r="AO96" s="11"/>
      <c r="AP96" s="358"/>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row>
    <row r="97" spans="1:72" x14ac:dyDescent="0.25">
      <c r="A97" s="1"/>
      <c r="B97" s="243" t="str">
        <f>'Energy Cost &amp; Emissions'!B8</f>
        <v>Transport</v>
      </c>
      <c r="C97" s="243"/>
      <c r="D97" s="243"/>
      <c r="E97" s="243" t="str">
        <f>'Energy Cost &amp; Emissions'!B18</f>
        <v>Electricity Generation and Kiln</v>
      </c>
      <c r="F97" s="359"/>
      <c r="G97" s="214"/>
      <c r="H97" s="11"/>
      <c r="I97" s="11"/>
      <c r="J97" s="11"/>
      <c r="K97" s="11"/>
      <c r="L97" s="358"/>
      <c r="M97" s="11"/>
      <c r="N97" s="284"/>
      <c r="O97" s="284"/>
      <c r="P97" s="11"/>
      <c r="Q97" s="11"/>
      <c r="R97" s="358"/>
      <c r="S97" s="11"/>
      <c r="T97" s="11"/>
      <c r="U97" s="11"/>
      <c r="V97" s="11"/>
      <c r="W97" s="11"/>
      <c r="X97" s="358"/>
      <c r="Y97" s="11"/>
      <c r="Z97" s="11"/>
      <c r="AA97" s="11"/>
      <c r="AB97" s="11"/>
      <c r="AC97" s="11"/>
      <c r="AD97" s="358"/>
      <c r="AE97" s="11"/>
      <c r="AF97" s="11"/>
      <c r="AG97" s="11"/>
      <c r="AH97" s="11"/>
      <c r="AI97" s="11"/>
      <c r="AJ97" s="358"/>
      <c r="AK97" s="11"/>
      <c r="AL97" s="11"/>
      <c r="AM97" s="11"/>
      <c r="AN97" s="11"/>
      <c r="AO97" s="11"/>
      <c r="AP97" s="358"/>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row>
    <row r="98" spans="1:72" x14ac:dyDescent="0.25">
      <c r="A98" s="242"/>
      <c r="B98" s="242" t="str">
        <f>'Energy Cost &amp; Emissions'!B9</f>
        <v>Industrial diesel</v>
      </c>
      <c r="C98" s="242"/>
      <c r="D98" s="242"/>
      <c r="E98" s="242" t="str">
        <f>'Energy Cost &amp; Emissions'!B19</f>
        <v>Fuel oil</v>
      </c>
      <c r="F98" s="358"/>
      <c r="G98" s="214"/>
      <c r="H98" s="11"/>
      <c r="I98" s="11"/>
      <c r="J98" s="11"/>
      <c r="K98" s="11"/>
      <c r="L98" s="358"/>
      <c r="M98" s="11"/>
      <c r="N98" s="284"/>
      <c r="O98" s="284"/>
      <c r="P98" s="11"/>
      <c r="Q98" s="11"/>
      <c r="R98" s="358"/>
      <c r="S98" s="11"/>
      <c r="T98" s="11"/>
      <c r="U98" s="11"/>
      <c r="V98" s="11"/>
      <c r="W98" s="11"/>
      <c r="X98" s="358"/>
      <c r="Y98" s="11"/>
      <c r="Z98" s="11"/>
      <c r="AA98" s="11"/>
      <c r="AB98" s="11"/>
      <c r="AC98" s="11"/>
      <c r="AD98" s="358"/>
      <c r="AE98" s="11"/>
      <c r="AF98" s="11"/>
      <c r="AG98" s="11"/>
      <c r="AH98" s="11"/>
      <c r="AI98" s="11"/>
      <c r="AJ98" s="358"/>
      <c r="AK98" s="11"/>
      <c r="AL98" s="11"/>
      <c r="AM98" s="11"/>
      <c r="AN98" s="11"/>
      <c r="AO98" s="11"/>
      <c r="AP98" s="358"/>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row>
    <row r="99" spans="1:72" x14ac:dyDescent="0.25">
      <c r="A99" s="242"/>
      <c r="B99" s="242" t="str">
        <f>'Energy Cost &amp; Emissions'!B10</f>
        <v>Machine and vehicle diesel</v>
      </c>
      <c r="C99" s="242"/>
      <c r="D99" s="242"/>
      <c r="E99" s="242" t="str">
        <f>'Energy Cost &amp; Emissions'!B20</f>
        <v>Brown coal</v>
      </c>
      <c r="F99" s="358"/>
      <c r="G99" s="214"/>
      <c r="H99" s="11"/>
      <c r="I99" s="11"/>
      <c r="J99" s="11"/>
      <c r="K99" s="11"/>
      <c r="L99" s="358"/>
      <c r="M99" s="11"/>
      <c r="N99" s="284"/>
      <c r="O99" s="284"/>
      <c r="P99" s="11"/>
      <c r="Q99" s="11"/>
      <c r="R99" s="358"/>
      <c r="S99" s="11"/>
      <c r="T99" s="11"/>
      <c r="U99" s="11"/>
      <c r="V99" s="11"/>
      <c r="W99" s="11"/>
      <c r="X99" s="358"/>
      <c r="Y99" s="11"/>
      <c r="Z99" s="11"/>
      <c r="AA99" s="11"/>
      <c r="AB99" s="11"/>
      <c r="AC99" s="11"/>
      <c r="AD99" s="358"/>
      <c r="AE99" s="11"/>
      <c r="AF99" s="11"/>
      <c r="AG99" s="11"/>
      <c r="AH99" s="11"/>
      <c r="AI99" s="11"/>
      <c r="AJ99" s="358"/>
      <c r="AK99" s="11"/>
      <c r="AL99" s="11"/>
      <c r="AM99" s="11"/>
      <c r="AN99" s="11"/>
      <c r="AO99" s="11"/>
      <c r="AP99" s="358"/>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row>
    <row r="100" spans="1:72" x14ac:dyDescent="0.25">
      <c r="A100" s="242"/>
      <c r="B100" s="242" t="str">
        <f>'Energy Cost &amp; Emissions'!B11</f>
        <v>Natural gas</v>
      </c>
      <c r="C100" s="242"/>
      <c r="D100" s="242"/>
      <c r="E100" s="242" t="str">
        <f>'Energy Cost &amp; Emissions'!B21</f>
        <v>Bituminous coal</v>
      </c>
      <c r="F100" s="358"/>
      <c r="G100" s="214"/>
      <c r="H100" s="11"/>
      <c r="I100" s="11"/>
      <c r="J100" s="11"/>
      <c r="K100" s="11"/>
      <c r="L100" s="358"/>
      <c r="M100" s="11"/>
      <c r="N100" s="284"/>
      <c r="O100" s="284"/>
      <c r="P100" s="11"/>
      <c r="Q100" s="11"/>
      <c r="R100" s="358"/>
      <c r="S100" s="11"/>
      <c r="T100" s="11"/>
      <c r="U100" s="11"/>
      <c r="V100" s="11"/>
      <c r="W100" s="11"/>
      <c r="X100" s="358"/>
      <c r="Y100" s="11"/>
      <c r="Z100" s="11"/>
      <c r="AA100" s="11"/>
      <c r="AB100" s="11"/>
      <c r="AC100" s="11"/>
      <c r="AD100" s="358"/>
      <c r="AE100" s="11"/>
      <c r="AF100" s="11"/>
      <c r="AG100" s="11"/>
      <c r="AH100" s="11"/>
      <c r="AI100" s="11"/>
      <c r="AJ100" s="358"/>
      <c r="AK100" s="11"/>
      <c r="AL100" s="11"/>
      <c r="AM100" s="11"/>
      <c r="AN100" s="11"/>
      <c r="AO100" s="11"/>
      <c r="AP100" s="358"/>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row>
    <row r="101" spans="1:72" x14ac:dyDescent="0.25">
      <c r="A101" s="242"/>
      <c r="B101" s="242" t="str">
        <f>'Energy Cost &amp; Emissions'!B12</f>
        <v>Petrol</v>
      </c>
      <c r="C101" s="242"/>
      <c r="D101" s="242"/>
      <c r="E101" s="242" t="str">
        <f>'Energy Cost &amp; Emissions'!B22</f>
        <v>Natural gas</v>
      </c>
      <c r="F101" s="358"/>
      <c r="G101" s="214"/>
      <c r="H101" s="11"/>
      <c r="I101" s="11"/>
      <c r="J101" s="11"/>
      <c r="K101" s="11"/>
      <c r="L101" s="358"/>
      <c r="M101" s="11"/>
      <c r="N101" s="284"/>
      <c r="O101" s="284"/>
      <c r="P101" s="11"/>
      <c r="Q101" s="11"/>
      <c r="R101" s="358"/>
      <c r="S101" s="11"/>
      <c r="T101" s="11"/>
      <c r="U101" s="11"/>
      <c r="V101" s="11"/>
      <c r="W101" s="11"/>
      <c r="X101" s="358"/>
      <c r="Y101" s="11"/>
      <c r="Z101" s="11"/>
      <c r="AA101" s="11"/>
      <c r="AB101" s="11"/>
      <c r="AC101" s="11"/>
      <c r="AD101" s="358"/>
      <c r="AE101" s="11"/>
      <c r="AF101" s="11"/>
      <c r="AG101" s="11"/>
      <c r="AH101" s="11"/>
      <c r="AI101" s="11"/>
      <c r="AJ101" s="358"/>
      <c r="AK101" s="11"/>
      <c r="AL101" s="11"/>
      <c r="AM101" s="11"/>
      <c r="AN101" s="11"/>
      <c r="AO101" s="11"/>
      <c r="AP101" s="358"/>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row>
    <row r="102" spans="1:72" x14ac:dyDescent="0.25">
      <c r="A102" s="242"/>
      <c r="B102" s="242" t="str">
        <f>'Energy Cost &amp; Emissions'!B13</f>
        <v>Fuel Oil</v>
      </c>
      <c r="C102" s="242"/>
      <c r="D102" s="242"/>
      <c r="E102" s="242" t="str">
        <f>'Energy Cost &amp; Emissions'!B23</f>
        <v>Electricity</v>
      </c>
      <c r="F102" s="358"/>
      <c r="G102" s="214"/>
      <c r="H102" s="11"/>
      <c r="I102" s="11"/>
      <c r="J102" s="11"/>
      <c r="K102" s="11"/>
      <c r="L102" s="358"/>
      <c r="M102" s="11"/>
      <c r="N102" s="284"/>
      <c r="O102" s="284"/>
      <c r="P102" s="11"/>
      <c r="Q102" s="11"/>
      <c r="R102" s="358"/>
      <c r="S102" s="11"/>
      <c r="T102" s="11"/>
      <c r="U102" s="11"/>
      <c r="V102" s="11"/>
      <c r="W102" s="11"/>
      <c r="X102" s="358"/>
      <c r="Y102" s="11"/>
      <c r="Z102" s="11"/>
      <c r="AA102" s="11"/>
      <c r="AB102" s="11"/>
      <c r="AC102" s="11"/>
      <c r="AD102" s="358"/>
      <c r="AE102" s="11"/>
      <c r="AF102" s="11"/>
      <c r="AG102" s="11"/>
      <c r="AH102" s="11"/>
      <c r="AI102" s="11"/>
      <c r="AJ102" s="358"/>
      <c r="AK102" s="11"/>
      <c r="AL102" s="11"/>
      <c r="AM102" s="11"/>
      <c r="AN102" s="11"/>
      <c r="AO102" s="11"/>
      <c r="AP102" s="358"/>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row>
    <row r="103" spans="1:72" x14ac:dyDescent="0.25">
      <c r="A103" s="242"/>
      <c r="B103" s="242" t="str">
        <f>'Energy Cost &amp; Emissions'!B14</f>
        <v>LPG (transport)</v>
      </c>
      <c r="C103" s="242"/>
      <c r="D103" s="242"/>
      <c r="E103" s="242" t="str">
        <f>'Energy Cost &amp; Emissions'!B24</f>
        <v>LPG</v>
      </c>
      <c r="F103" s="358"/>
      <c r="G103" s="214"/>
      <c r="H103" s="11"/>
      <c r="I103" s="11"/>
      <c r="J103" s="11"/>
      <c r="K103" s="11"/>
      <c r="L103" s="358"/>
      <c r="M103" s="11"/>
      <c r="N103" s="284"/>
      <c r="O103" s="284"/>
      <c r="P103" s="11"/>
      <c r="Q103" s="11"/>
      <c r="R103" s="358"/>
      <c r="S103" s="11"/>
      <c r="T103" s="11"/>
      <c r="U103" s="11"/>
      <c r="V103" s="11"/>
      <c r="W103" s="11"/>
      <c r="X103" s="358"/>
      <c r="Y103" s="11"/>
      <c r="Z103" s="11"/>
      <c r="AA103" s="11"/>
      <c r="AB103" s="11"/>
      <c r="AC103" s="11"/>
      <c r="AD103" s="358"/>
      <c r="AE103" s="11"/>
      <c r="AF103" s="11"/>
      <c r="AG103" s="11"/>
      <c r="AH103" s="11"/>
      <c r="AI103" s="11"/>
      <c r="AJ103" s="358"/>
      <c r="AK103" s="11"/>
      <c r="AL103" s="11"/>
      <c r="AM103" s="11"/>
      <c r="AN103" s="11"/>
      <c r="AO103" s="11"/>
      <c r="AP103" s="358"/>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row>
    <row r="104" spans="1:72" x14ac:dyDescent="0.25">
      <c r="A104" s="242"/>
      <c r="B104" s="242" t="str">
        <f>'Energy Cost &amp; Emissions'!B15</f>
        <v>Natural gas LDV (transport)</v>
      </c>
      <c r="C104" s="242"/>
      <c r="D104" s="242"/>
      <c r="E104" s="242" t="str">
        <f>'Energy Cost &amp; Emissions'!B25</f>
        <v>Solar PV</v>
      </c>
      <c r="F104" s="358"/>
      <c r="G104" s="214"/>
      <c r="H104" s="11"/>
      <c r="I104" s="11"/>
      <c r="J104" s="11"/>
      <c r="K104" s="11"/>
      <c r="L104" s="358"/>
      <c r="M104" s="11"/>
      <c r="N104" s="284"/>
      <c r="O104" s="284"/>
      <c r="P104" s="11"/>
      <c r="Q104" s="11"/>
      <c r="R104" s="358"/>
      <c r="S104" s="11"/>
      <c r="T104" s="11"/>
      <c r="U104" s="11"/>
      <c r="V104" s="11"/>
      <c r="W104" s="11"/>
      <c r="X104" s="358"/>
      <c r="Y104" s="11"/>
      <c r="Z104" s="11"/>
      <c r="AA104" s="11"/>
      <c r="AB104" s="11"/>
      <c r="AC104" s="11"/>
      <c r="AD104" s="358"/>
      <c r="AE104" s="11"/>
      <c r="AF104" s="11"/>
      <c r="AG104" s="11"/>
      <c r="AH104" s="11"/>
      <c r="AI104" s="11"/>
      <c r="AJ104" s="358"/>
      <c r="AK104" s="11"/>
      <c r="AL104" s="11"/>
      <c r="AM104" s="11"/>
      <c r="AN104" s="11"/>
      <c r="AO104" s="11"/>
      <c r="AP104" s="358"/>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row>
    <row r="105" spans="1:72" x14ac:dyDescent="0.25">
      <c r="A105" s="242"/>
      <c r="B105" s="242" t="str">
        <f>'Energy Cost &amp; Emissions'!B16</f>
        <v>Natural gas HDV (transport)</v>
      </c>
      <c r="C105" s="242"/>
      <c r="D105" s="242"/>
      <c r="E105" s="242" t="str">
        <f>'Energy Cost &amp; Emissions'!B26</f>
        <v>Hydro</v>
      </c>
      <c r="F105" s="358"/>
      <c r="G105" s="214"/>
      <c r="H105" s="11"/>
      <c r="I105" s="11"/>
      <c r="J105" s="11"/>
      <c r="K105" s="11"/>
      <c r="L105" s="358"/>
      <c r="M105" s="11"/>
      <c r="N105" s="284"/>
      <c r="O105" s="284"/>
      <c r="P105" s="11"/>
      <c r="Q105" s="11"/>
      <c r="R105" s="358"/>
      <c r="S105" s="11"/>
      <c r="T105" s="11"/>
      <c r="U105" s="11"/>
      <c r="V105" s="11"/>
      <c r="W105" s="11"/>
      <c r="X105" s="358"/>
      <c r="Y105" s="11"/>
      <c r="Z105" s="11"/>
      <c r="AA105" s="11"/>
      <c r="AB105" s="11"/>
      <c r="AC105" s="11"/>
      <c r="AD105" s="358"/>
      <c r="AE105" s="11"/>
      <c r="AF105" s="11"/>
      <c r="AG105" s="11"/>
      <c r="AH105" s="11"/>
      <c r="AI105" s="11"/>
      <c r="AJ105" s="358"/>
      <c r="AK105" s="11"/>
      <c r="AL105" s="11"/>
      <c r="AM105" s="11"/>
      <c r="AN105" s="11"/>
      <c r="AO105" s="11"/>
      <c r="AP105" s="358"/>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row>
    <row r="106" spans="1:72" x14ac:dyDescent="0.25">
      <c r="A106" s="242"/>
      <c r="B106" s="242" t="str">
        <f>'Energy Cost &amp; Emissions'!B17</f>
        <v>N/A</v>
      </c>
      <c r="C106" s="242"/>
      <c r="D106" s="242"/>
      <c r="E106" s="242" t="str">
        <f>'Energy Cost &amp; Emissions'!B27</f>
        <v>Wind</v>
      </c>
      <c r="F106" s="358"/>
      <c r="G106" s="214"/>
      <c r="H106" s="11"/>
      <c r="I106" s="11"/>
      <c r="J106" s="11"/>
      <c r="K106" s="11"/>
      <c r="L106" s="358"/>
      <c r="M106" s="11"/>
      <c r="N106" s="284"/>
      <c r="O106" s="284"/>
      <c r="P106" s="11"/>
      <c r="Q106" s="11"/>
      <c r="R106" s="358"/>
      <c r="S106" s="11"/>
      <c r="T106" s="11"/>
      <c r="U106" s="11"/>
      <c r="V106" s="11"/>
      <c r="W106" s="11"/>
      <c r="X106" s="358"/>
      <c r="Y106" s="11"/>
      <c r="Z106" s="11"/>
      <c r="AA106" s="11"/>
      <c r="AB106" s="11"/>
      <c r="AC106" s="11"/>
      <c r="AD106" s="358"/>
      <c r="AE106" s="11"/>
      <c r="AF106" s="11"/>
      <c r="AG106" s="11"/>
      <c r="AH106" s="11"/>
      <c r="AI106" s="11"/>
      <c r="AJ106" s="358"/>
      <c r="AK106" s="11"/>
      <c r="AL106" s="11"/>
      <c r="AM106" s="11"/>
      <c r="AN106" s="11"/>
      <c r="AO106" s="11"/>
      <c r="AP106" s="358"/>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row>
    <row r="107" spans="1:72" x14ac:dyDescent="0.25">
      <c r="A107" s="242"/>
      <c r="B107" s="242"/>
      <c r="C107" s="242"/>
      <c r="D107" s="242"/>
      <c r="E107" s="242" t="str">
        <f>'Energy Cost &amp; Emissions'!B28</f>
        <v>Other process</v>
      </c>
      <c r="F107" s="358"/>
      <c r="G107" s="214"/>
      <c r="H107" s="11"/>
      <c r="I107" s="11"/>
      <c r="J107" s="11"/>
      <c r="K107" s="11"/>
      <c r="L107" s="358"/>
      <c r="M107" s="11"/>
      <c r="N107" s="284"/>
      <c r="O107" s="284"/>
      <c r="P107" s="11"/>
      <c r="Q107" s="11"/>
      <c r="R107" s="358"/>
      <c r="S107" s="11"/>
      <c r="T107" s="11"/>
      <c r="U107" s="11"/>
      <c r="V107" s="11"/>
      <c r="W107" s="11"/>
      <c r="X107" s="358"/>
      <c r="Y107" s="11"/>
      <c r="Z107" s="11"/>
      <c r="AA107" s="11"/>
      <c r="AB107" s="11"/>
      <c r="AC107" s="11"/>
      <c r="AD107" s="358"/>
      <c r="AE107" s="11"/>
      <c r="AF107" s="11"/>
      <c r="AG107" s="11"/>
      <c r="AH107" s="11"/>
      <c r="AI107" s="11"/>
      <c r="AJ107" s="358"/>
      <c r="AK107" s="11"/>
      <c r="AL107" s="11"/>
      <c r="AM107" s="11"/>
      <c r="AN107" s="11"/>
      <c r="AO107" s="11"/>
      <c r="AP107" s="358"/>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row>
    <row r="108" spans="1:72" x14ac:dyDescent="0.25">
      <c r="A108" s="242"/>
      <c r="B108" s="214"/>
      <c r="C108" s="214"/>
      <c r="D108" s="214"/>
      <c r="E108" s="242" t="str">
        <f>'Energy Cost &amp; Emissions'!B29</f>
        <v>N/A</v>
      </c>
      <c r="F108" s="358"/>
      <c r="G108" s="214"/>
      <c r="H108" s="11"/>
      <c r="I108" s="11"/>
      <c r="J108" s="11"/>
      <c r="K108" s="11"/>
      <c r="L108" s="358"/>
      <c r="M108" s="11"/>
      <c r="N108" s="284"/>
      <c r="O108" s="284"/>
      <c r="P108" s="11"/>
      <c r="Q108" s="11"/>
      <c r="R108" s="358"/>
      <c r="S108" s="11"/>
      <c r="T108" s="11"/>
      <c r="U108" s="11"/>
      <c r="V108" s="11"/>
      <c r="W108" s="11"/>
      <c r="X108" s="358"/>
      <c r="Y108" s="11"/>
      <c r="Z108" s="11"/>
      <c r="AA108" s="11"/>
      <c r="AB108" s="11"/>
      <c r="AC108" s="11"/>
      <c r="AD108" s="358"/>
      <c r="AE108" s="11"/>
      <c r="AF108" s="11"/>
      <c r="AG108" s="11"/>
      <c r="AH108" s="11"/>
      <c r="AI108" s="11"/>
      <c r="AJ108" s="358"/>
      <c r="AK108" s="11"/>
      <c r="AL108" s="11"/>
      <c r="AM108" s="11"/>
      <c r="AN108" s="11"/>
      <c r="AO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row>
    <row r="109" spans="1:72" x14ac:dyDescent="0.25">
      <c r="A109" s="242"/>
    </row>
    <row r="110" spans="1:72" x14ac:dyDescent="0.25">
      <c r="A110" s="242"/>
    </row>
    <row r="111" spans="1:72" x14ac:dyDescent="0.25">
      <c r="A111" s="214"/>
    </row>
  </sheetData>
  <mergeCells count="491">
    <mergeCell ref="BN30:BO30"/>
    <mergeCell ref="BS22:BT22"/>
    <mergeCell ref="BS23:BT23"/>
    <mergeCell ref="BS24:BT24"/>
    <mergeCell ref="BS25:BT25"/>
    <mergeCell ref="BS26:BT26"/>
    <mergeCell ref="BS27:BT27"/>
    <mergeCell ref="BS28:BT28"/>
    <mergeCell ref="BS29:BT29"/>
    <mergeCell ref="BS30:BT30"/>
    <mergeCell ref="BN22:BO22"/>
    <mergeCell ref="BN23:BO23"/>
    <mergeCell ref="BN24:BO24"/>
    <mergeCell ref="BN25:BO25"/>
    <mergeCell ref="BN26:BO26"/>
    <mergeCell ref="BN27:BO27"/>
    <mergeCell ref="BN28:BO28"/>
    <mergeCell ref="BN29:BO29"/>
    <mergeCell ref="AK25:AO25"/>
    <mergeCell ref="AQ25:AU25"/>
    <mergeCell ref="B22:D30"/>
    <mergeCell ref="G28:K28"/>
    <mergeCell ref="M28:Q28"/>
    <mergeCell ref="S28:W28"/>
    <mergeCell ref="Y28:AC28"/>
    <mergeCell ref="AE28:AI28"/>
    <mergeCell ref="AK28:AO28"/>
    <mergeCell ref="AQ28:AU28"/>
    <mergeCell ref="S30:W30"/>
    <mergeCell ref="Y30:AC30"/>
    <mergeCell ref="G22:K22"/>
    <mergeCell ref="G24:K24"/>
    <mergeCell ref="G26:K26"/>
    <mergeCell ref="G27:K27"/>
    <mergeCell ref="G30:K30"/>
    <mergeCell ref="M22:Q22"/>
    <mergeCell ref="M24:Q24"/>
    <mergeCell ref="M26:Q26"/>
    <mergeCell ref="M27:Q27"/>
    <mergeCell ref="M30:Q30"/>
    <mergeCell ref="G25:K25"/>
    <mergeCell ref="BA8:BE8"/>
    <mergeCell ref="BF11:BJ11"/>
    <mergeCell ref="BP36:BS36"/>
    <mergeCell ref="M25:Q25"/>
    <mergeCell ref="G21:K21"/>
    <mergeCell ref="M21:Q21"/>
    <mergeCell ref="S21:W21"/>
    <mergeCell ref="Y21:AC21"/>
    <mergeCell ref="AE21:AI21"/>
    <mergeCell ref="AK21:AO21"/>
    <mergeCell ref="AQ21:AU21"/>
    <mergeCell ref="AV21:AZ21"/>
    <mergeCell ref="S22:W22"/>
    <mergeCell ref="S24:W24"/>
    <mergeCell ref="S26:W26"/>
    <mergeCell ref="S27:W27"/>
    <mergeCell ref="Y22:AC22"/>
    <mergeCell ref="Y24:AC24"/>
    <mergeCell ref="Y26:AC26"/>
    <mergeCell ref="Y27:AC27"/>
    <mergeCell ref="S25:W25"/>
    <mergeCell ref="Y25:AC25"/>
    <mergeCell ref="AY22:AZ22"/>
    <mergeCell ref="AY24:AZ24"/>
    <mergeCell ref="BF9:BJ9"/>
    <mergeCell ref="BK9:BO9"/>
    <mergeCell ref="BK5:BO5"/>
    <mergeCell ref="BA21:BE21"/>
    <mergeCell ref="BP50:BT50"/>
    <mergeCell ref="AV4:BT4"/>
    <mergeCell ref="AV40:BT40"/>
    <mergeCell ref="BP37:BS37"/>
    <mergeCell ref="BP38:BS38"/>
    <mergeCell ref="BP41:BT41"/>
    <mergeCell ref="BP42:BT42"/>
    <mergeCell ref="BP43:BT43"/>
    <mergeCell ref="BP44:BT44"/>
    <mergeCell ref="BP45:BT45"/>
    <mergeCell ref="BP46:BT46"/>
    <mergeCell ref="BP47:BT47"/>
    <mergeCell ref="BP14:BT14"/>
    <mergeCell ref="BP15:BT15"/>
    <mergeCell ref="BP16:BT16"/>
    <mergeCell ref="BP17:BT17"/>
    <mergeCell ref="BP18:BT18"/>
    <mergeCell ref="BF21:BJ21"/>
    <mergeCell ref="BK21:BO21"/>
    <mergeCell ref="BP21:BT21"/>
    <mergeCell ref="BP5:BT5"/>
    <mergeCell ref="BP6:BT6"/>
    <mergeCell ref="BP48:BT48"/>
    <mergeCell ref="BK42:BO42"/>
    <mergeCell ref="BK46:BO46"/>
    <mergeCell ref="BP49:BT49"/>
    <mergeCell ref="BP7:BT7"/>
    <mergeCell ref="BP8:BT8"/>
    <mergeCell ref="BP9:BT9"/>
    <mergeCell ref="BP10:BT10"/>
    <mergeCell ref="BP11:BT11"/>
    <mergeCell ref="BP12:BT12"/>
    <mergeCell ref="BP13:BT13"/>
    <mergeCell ref="BK20:BO20"/>
    <mergeCell ref="BK8:BO8"/>
    <mergeCell ref="BK10:BO10"/>
    <mergeCell ref="BP19:BT19"/>
    <mergeCell ref="BP20:BT20"/>
    <mergeCell ref="BP34:BS34"/>
    <mergeCell ref="AE20:AI20"/>
    <mergeCell ref="AK20:AO20"/>
    <mergeCell ref="AQ20:AU20"/>
    <mergeCell ref="AV20:AZ20"/>
    <mergeCell ref="BA20:BE20"/>
    <mergeCell ref="BA19:BE19"/>
    <mergeCell ref="AE22:AI22"/>
    <mergeCell ref="AE24:AI24"/>
    <mergeCell ref="AE26:AI26"/>
    <mergeCell ref="AE27:AI27"/>
    <mergeCell ref="AE30:AI30"/>
    <mergeCell ref="AK22:AO22"/>
    <mergeCell ref="AK24:AO24"/>
    <mergeCell ref="AK26:AO26"/>
    <mergeCell ref="AK27:AO27"/>
    <mergeCell ref="AK30:AO30"/>
    <mergeCell ref="AQ22:AU22"/>
    <mergeCell ref="AQ24:AU24"/>
    <mergeCell ref="BF20:BJ20"/>
    <mergeCell ref="AY25:AZ25"/>
    <mergeCell ref="AQ26:AU26"/>
    <mergeCell ref="BK11:BO11"/>
    <mergeCell ref="AQ48:AU48"/>
    <mergeCell ref="AV48:AZ48"/>
    <mergeCell ref="Y35:AC35"/>
    <mergeCell ref="Y37:AC37"/>
    <mergeCell ref="AE36:AI36"/>
    <mergeCell ref="AE37:AI37"/>
    <mergeCell ref="AQ36:AU36"/>
    <mergeCell ref="AQ37:AU37"/>
    <mergeCell ref="AQ45:AU45"/>
    <mergeCell ref="AK35:AO35"/>
    <mergeCell ref="AQ43:AU43"/>
    <mergeCell ref="AE46:AI46"/>
    <mergeCell ref="AQ44:AU44"/>
    <mergeCell ref="AK46:AO46"/>
    <mergeCell ref="AE43:AI43"/>
    <mergeCell ref="AK47:AO47"/>
    <mergeCell ref="AK37:AO37"/>
    <mergeCell ref="AE14:AI14"/>
    <mergeCell ref="AK18:AO18"/>
    <mergeCell ref="AQ18:AU18"/>
    <mergeCell ref="AQ35:AU35"/>
    <mergeCell ref="AQ27:AU27"/>
    <mergeCell ref="AQ30:AU30"/>
    <mergeCell ref="M35:Q35"/>
    <mergeCell ref="G36:K36"/>
    <mergeCell ref="S15:W15"/>
    <mergeCell ref="S45:W45"/>
    <mergeCell ref="S43:W43"/>
    <mergeCell ref="M42:Q42"/>
    <mergeCell ref="M37:Q37"/>
    <mergeCell ref="G37:K37"/>
    <mergeCell ref="S36:W36"/>
    <mergeCell ref="M36:Q36"/>
    <mergeCell ref="M41:Q41"/>
    <mergeCell ref="G33:K33"/>
    <mergeCell ref="G20:K20"/>
    <mergeCell ref="M20:Q20"/>
    <mergeCell ref="S20:W20"/>
    <mergeCell ref="G35:K35"/>
    <mergeCell ref="G44:K44"/>
    <mergeCell ref="G40:AO40"/>
    <mergeCell ref="S42:W42"/>
    <mergeCell ref="S41:W41"/>
    <mergeCell ref="M44:Q44"/>
    <mergeCell ref="S35:W35"/>
    <mergeCell ref="G42:K42"/>
    <mergeCell ref="AE41:AI41"/>
    <mergeCell ref="AV7:AZ7"/>
    <mergeCell ref="AK5:AO5"/>
    <mergeCell ref="AQ5:AU5"/>
    <mergeCell ref="AQ6:AU6"/>
    <mergeCell ref="AQ7:AU7"/>
    <mergeCell ref="AK15:AO15"/>
    <mergeCell ref="AE16:AI16"/>
    <mergeCell ref="AK16:AO16"/>
    <mergeCell ref="AE17:AI17"/>
    <mergeCell ref="AK17:AO17"/>
    <mergeCell ref="AQ14:AU14"/>
    <mergeCell ref="AQ15:AU15"/>
    <mergeCell ref="AQ16:AU16"/>
    <mergeCell ref="AQ17:AU17"/>
    <mergeCell ref="AK14:AO14"/>
    <mergeCell ref="AE15:AI15"/>
    <mergeCell ref="AE12:AI12"/>
    <mergeCell ref="AK11:AO11"/>
    <mergeCell ref="AE9:AI9"/>
    <mergeCell ref="AK9:AO9"/>
    <mergeCell ref="Y7:AC7"/>
    <mergeCell ref="S7:W7"/>
    <mergeCell ref="AE7:AI7"/>
    <mergeCell ref="AK7:AO7"/>
    <mergeCell ref="G45:K45"/>
    <mergeCell ref="Y36:AC36"/>
    <mergeCell ref="G43:K43"/>
    <mergeCell ref="S44:W44"/>
    <mergeCell ref="S37:W37"/>
    <mergeCell ref="AK19:AO19"/>
    <mergeCell ref="Y14:AC14"/>
    <mergeCell ref="Y15:AC15"/>
    <mergeCell ref="G41:K41"/>
    <mergeCell ref="Y44:AC44"/>
    <mergeCell ref="AE35:AI35"/>
    <mergeCell ref="Y41:AC41"/>
    <mergeCell ref="AE44:AI44"/>
    <mergeCell ref="AE45:AI45"/>
    <mergeCell ref="Y42:AC42"/>
    <mergeCell ref="AK45:AO45"/>
    <mergeCell ref="AK44:AO44"/>
    <mergeCell ref="S34:W34"/>
    <mergeCell ref="G34:K34"/>
    <mergeCell ref="M34:Q34"/>
    <mergeCell ref="BK6:BO6"/>
    <mergeCell ref="BF6:BJ6"/>
    <mergeCell ref="Y5:AC5"/>
    <mergeCell ref="Y6:AC6"/>
    <mergeCell ref="AV5:AZ5"/>
    <mergeCell ref="BA5:BE5"/>
    <mergeCell ref="BA6:BE6"/>
    <mergeCell ref="AV6:AZ6"/>
    <mergeCell ref="BF5:BJ5"/>
    <mergeCell ref="AK6:AO6"/>
    <mergeCell ref="AE5:AI5"/>
    <mergeCell ref="AE6:AI6"/>
    <mergeCell ref="BA7:BE7"/>
    <mergeCell ref="G6:K6"/>
    <mergeCell ref="G8:K8"/>
    <mergeCell ref="S8:W8"/>
    <mergeCell ref="S6:W6"/>
    <mergeCell ref="AE34:AI34"/>
    <mergeCell ref="AE10:AI10"/>
    <mergeCell ref="AE19:AI19"/>
    <mergeCell ref="AE11:AI11"/>
    <mergeCell ref="AK12:AO12"/>
    <mergeCell ref="AV12:AZ12"/>
    <mergeCell ref="BA12:BE12"/>
    <mergeCell ref="BA11:BE11"/>
    <mergeCell ref="AV8:AZ8"/>
    <mergeCell ref="BA9:BE9"/>
    <mergeCell ref="BA10:BE10"/>
    <mergeCell ref="G19:K19"/>
    <mergeCell ref="S14:W14"/>
    <mergeCell ref="M33:Q33"/>
    <mergeCell ref="M16:Q16"/>
    <mergeCell ref="M18:Q18"/>
    <mergeCell ref="M17:Q17"/>
    <mergeCell ref="S33:W33"/>
    <mergeCell ref="Y33:AC33"/>
    <mergeCell ref="G4:AU4"/>
    <mergeCell ref="M5:Q5"/>
    <mergeCell ref="M6:Q6"/>
    <mergeCell ref="G13:K13"/>
    <mergeCell ref="AQ10:AU10"/>
    <mergeCell ref="AQ11:AU11"/>
    <mergeCell ref="AQ12:AU12"/>
    <mergeCell ref="S10:W10"/>
    <mergeCell ref="S11:W11"/>
    <mergeCell ref="Y11:AC11"/>
    <mergeCell ref="AQ9:AU9"/>
    <mergeCell ref="AQ8:AU8"/>
    <mergeCell ref="AE8:AI8"/>
    <mergeCell ref="Y10:AC10"/>
    <mergeCell ref="Y12:AC12"/>
    <mergeCell ref="AK8:AO8"/>
    <mergeCell ref="AQ13:AU13"/>
    <mergeCell ref="AK10:AO10"/>
    <mergeCell ref="AK13:AO13"/>
    <mergeCell ref="M13:Q13"/>
    <mergeCell ref="G5:K5"/>
    <mergeCell ref="S5:W5"/>
    <mergeCell ref="G7:K7"/>
    <mergeCell ref="M7:Q7"/>
    <mergeCell ref="AV38:AY38"/>
    <mergeCell ref="AV42:AZ42"/>
    <mergeCell ref="AV43:AZ43"/>
    <mergeCell ref="AV44:AZ44"/>
    <mergeCell ref="BK50:BO50"/>
    <mergeCell ref="BA50:BE50"/>
    <mergeCell ref="AV50:AZ50"/>
    <mergeCell ref="S13:W13"/>
    <mergeCell ref="AE33:AI33"/>
    <mergeCell ref="AK33:AO33"/>
    <mergeCell ref="AE13:AI13"/>
    <mergeCell ref="AK43:AO43"/>
    <mergeCell ref="BA38:BD38"/>
    <mergeCell ref="AV41:AZ41"/>
    <mergeCell ref="AQ41:AU41"/>
    <mergeCell ref="AK41:AO41"/>
    <mergeCell ref="AK42:AO42"/>
    <mergeCell ref="AE42:AI42"/>
    <mergeCell ref="AK34:AO34"/>
    <mergeCell ref="AQ34:AU34"/>
    <mergeCell ref="AQ33:AU33"/>
    <mergeCell ref="AE18:AI18"/>
    <mergeCell ref="Y34:AC34"/>
    <mergeCell ref="AK36:AO36"/>
    <mergeCell ref="BF7:BJ7"/>
    <mergeCell ref="BF36:BI36"/>
    <mergeCell ref="BK44:BO44"/>
    <mergeCell ref="BF44:BJ44"/>
    <mergeCell ref="BK12:BO12"/>
    <mergeCell ref="AV10:AZ10"/>
    <mergeCell ref="BF8:BJ8"/>
    <mergeCell ref="BF12:BJ12"/>
    <mergeCell ref="AV11:AZ11"/>
    <mergeCell ref="AV9:AZ9"/>
    <mergeCell ref="BK19:BO19"/>
    <mergeCell ref="AV13:AZ13"/>
    <mergeCell ref="BA13:BE13"/>
    <mergeCell ref="BF13:BJ13"/>
    <mergeCell ref="BK13:BO13"/>
    <mergeCell ref="BA36:BD36"/>
    <mergeCell ref="BK7:BO7"/>
    <mergeCell ref="BK38:BN38"/>
    <mergeCell ref="AV18:AZ18"/>
    <mergeCell ref="BA18:BE18"/>
    <mergeCell ref="BF18:BJ18"/>
    <mergeCell ref="BK18:BO18"/>
    <mergeCell ref="BF10:BJ10"/>
    <mergeCell ref="AV14:AZ14"/>
    <mergeCell ref="BK14:BO14"/>
    <mergeCell ref="BK15:BO15"/>
    <mergeCell ref="BK16:BO16"/>
    <mergeCell ref="BK17:BO17"/>
    <mergeCell ref="AV15:AZ15"/>
    <mergeCell ref="AV16:AZ16"/>
    <mergeCell ref="AV17:AZ17"/>
    <mergeCell ref="BA14:BE14"/>
    <mergeCell ref="BF49:BJ49"/>
    <mergeCell ref="AV45:AZ45"/>
    <mergeCell ref="BK37:BN37"/>
    <mergeCell ref="BK34:BN34"/>
    <mergeCell ref="BK36:BN36"/>
    <mergeCell ref="BK49:BO49"/>
    <mergeCell ref="BF47:BJ47"/>
    <mergeCell ref="BK43:BO43"/>
    <mergeCell ref="BA49:BE49"/>
    <mergeCell ref="AV49:AZ49"/>
    <mergeCell ref="AV36:AY36"/>
    <mergeCell ref="BF19:BJ19"/>
    <mergeCell ref="BA34:BD34"/>
    <mergeCell ref="AV34:AY34"/>
    <mergeCell ref="BK45:BO45"/>
    <mergeCell ref="BA43:BE43"/>
    <mergeCell ref="BK41:BO41"/>
    <mergeCell ref="BF38:BI38"/>
    <mergeCell ref="BF43:BJ43"/>
    <mergeCell ref="BA45:BE45"/>
    <mergeCell ref="BA48:BE48"/>
    <mergeCell ref="BF48:BJ48"/>
    <mergeCell ref="BK48:BO48"/>
    <mergeCell ref="BK47:BO47"/>
    <mergeCell ref="BA37:BD37"/>
    <mergeCell ref="BA15:BE15"/>
    <mergeCell ref="BA16:BE16"/>
    <mergeCell ref="BA17:BE17"/>
    <mergeCell ref="BF14:BJ14"/>
    <mergeCell ref="BF15:BJ15"/>
    <mergeCell ref="BF16:BJ16"/>
    <mergeCell ref="BF17:BJ17"/>
    <mergeCell ref="AV19:AZ19"/>
    <mergeCell ref="BF37:BI37"/>
    <mergeCell ref="BF34:BI34"/>
    <mergeCell ref="AY23:AZ23"/>
    <mergeCell ref="BD22:BE22"/>
    <mergeCell ref="BD23:BE23"/>
    <mergeCell ref="BD24:BE24"/>
    <mergeCell ref="BD25:BE25"/>
    <mergeCell ref="BD26:BE26"/>
    <mergeCell ref="BD27:BE27"/>
    <mergeCell ref="BD28:BE28"/>
    <mergeCell ref="BD29:BE29"/>
    <mergeCell ref="AY26:AZ26"/>
    <mergeCell ref="AY27:AZ27"/>
    <mergeCell ref="AY28:AZ28"/>
    <mergeCell ref="AY29:AZ29"/>
    <mergeCell ref="AY30:AZ30"/>
    <mergeCell ref="Y17:AC17"/>
    <mergeCell ref="G18:K18"/>
    <mergeCell ref="Y20:AC20"/>
    <mergeCell ref="G12:K12"/>
    <mergeCell ref="G32:AU32"/>
    <mergeCell ref="Y8:AC8"/>
    <mergeCell ref="M9:Q9"/>
    <mergeCell ref="M10:Q10"/>
    <mergeCell ref="M11:Q11"/>
    <mergeCell ref="Y9:AC9"/>
    <mergeCell ref="G10:K10"/>
    <mergeCell ref="M12:Q12"/>
    <mergeCell ref="S12:W12"/>
    <mergeCell ref="M14:Q14"/>
    <mergeCell ref="M15:Q15"/>
    <mergeCell ref="M19:Q19"/>
    <mergeCell ref="S19:W19"/>
    <mergeCell ref="Y19:AC19"/>
    <mergeCell ref="Y13:AC13"/>
    <mergeCell ref="G14:K14"/>
    <mergeCell ref="G15:K15"/>
    <mergeCell ref="M8:Q8"/>
    <mergeCell ref="AQ19:AU19"/>
    <mergeCell ref="AE25:AI25"/>
    <mergeCell ref="G16:K16"/>
    <mergeCell ref="S18:W18"/>
    <mergeCell ref="Y18:AC18"/>
    <mergeCell ref="G11:K11"/>
    <mergeCell ref="G9:K9"/>
    <mergeCell ref="G17:K17"/>
    <mergeCell ref="S9:W9"/>
    <mergeCell ref="B71:D73"/>
    <mergeCell ref="B74:D74"/>
    <mergeCell ref="Y46:AC46"/>
    <mergeCell ref="Y43:AC43"/>
    <mergeCell ref="M43:Q43"/>
    <mergeCell ref="B7:D12"/>
    <mergeCell ref="B14:D19"/>
    <mergeCell ref="B41:D50"/>
    <mergeCell ref="B33:D37"/>
    <mergeCell ref="B60:D60"/>
    <mergeCell ref="B67:D69"/>
    <mergeCell ref="B62:D66"/>
    <mergeCell ref="B54:D59"/>
    <mergeCell ref="B70:D70"/>
    <mergeCell ref="S16:W16"/>
    <mergeCell ref="Y16:AC16"/>
    <mergeCell ref="S17:W17"/>
    <mergeCell ref="BF50:BJ50"/>
    <mergeCell ref="BF41:BJ41"/>
    <mergeCell ref="BF42:BJ42"/>
    <mergeCell ref="AV46:AZ46"/>
    <mergeCell ref="BF45:BJ45"/>
    <mergeCell ref="BA42:BE42"/>
    <mergeCell ref="BF46:BJ46"/>
    <mergeCell ref="BA44:BE44"/>
    <mergeCell ref="AQ42:AU42"/>
    <mergeCell ref="BA41:BE41"/>
    <mergeCell ref="AV47:AZ47"/>
    <mergeCell ref="BA47:BE47"/>
    <mergeCell ref="BA46:BE46"/>
    <mergeCell ref="AK49:AO49"/>
    <mergeCell ref="G48:K48"/>
    <mergeCell ref="M48:Q48"/>
    <mergeCell ref="S48:W48"/>
    <mergeCell ref="Y48:AC48"/>
    <mergeCell ref="AE48:AI48"/>
    <mergeCell ref="AK48:AO48"/>
    <mergeCell ref="AE47:AI47"/>
    <mergeCell ref="Y45:AC45"/>
    <mergeCell ref="G46:K46"/>
    <mergeCell ref="B75:D76"/>
    <mergeCell ref="B77:D80"/>
    <mergeCell ref="AQ49:AU49"/>
    <mergeCell ref="AQ50:AU50"/>
    <mergeCell ref="S49:W49"/>
    <mergeCell ref="M45:Q45"/>
    <mergeCell ref="AQ47:AU47"/>
    <mergeCell ref="AQ46:AU46"/>
    <mergeCell ref="G50:K50"/>
    <mergeCell ref="G47:K47"/>
    <mergeCell ref="Y47:AC47"/>
    <mergeCell ref="G49:K49"/>
    <mergeCell ref="M50:Q50"/>
    <mergeCell ref="AK50:AO50"/>
    <mergeCell ref="Y49:AC49"/>
    <mergeCell ref="Y50:AC50"/>
    <mergeCell ref="M47:Q47"/>
    <mergeCell ref="M49:Q49"/>
    <mergeCell ref="S50:W50"/>
    <mergeCell ref="S47:W47"/>
    <mergeCell ref="S46:W46"/>
    <mergeCell ref="M46:Q46"/>
    <mergeCell ref="AE49:AI49"/>
    <mergeCell ref="AE50:AI50"/>
    <mergeCell ref="BD30:BE30"/>
    <mergeCell ref="BI22:BJ22"/>
    <mergeCell ref="BI23:BJ23"/>
    <mergeCell ref="BI24:BJ24"/>
    <mergeCell ref="BI25:BJ25"/>
    <mergeCell ref="BI26:BJ26"/>
    <mergeCell ref="BI27:BJ27"/>
    <mergeCell ref="BI28:BJ28"/>
    <mergeCell ref="BI29:BJ29"/>
    <mergeCell ref="BI30:BJ30"/>
  </mergeCells>
  <phoneticPr fontId="2" type="noConversion"/>
  <conditionalFormatting sqref="BK32:BM32 BF32:BH32 BA32:BC32 AV32:AX32">
    <cfRule type="cellIs" dxfId="95" priority="302" stopIfTrue="1" operator="notEqual">
      <formula>100</formula>
    </cfRule>
  </conditionalFormatting>
  <conditionalFormatting sqref="G13:Q13">
    <cfRule type="cellIs" dxfId="94" priority="295" stopIfTrue="1" operator="notEqual">
      <formula>100</formula>
    </cfRule>
  </conditionalFormatting>
  <conditionalFormatting sqref="AV13:BO13">
    <cfRule type="cellIs" dxfId="93" priority="294" stopIfTrue="1" operator="notEqual">
      <formula>100</formula>
    </cfRule>
  </conditionalFormatting>
  <conditionalFormatting sqref="S13:W13 Y13:AC13 AE13:AI13 AK13:AO13 AQ13:AU13">
    <cfRule type="cellIs" dxfId="92" priority="292" stopIfTrue="1" operator="notEqual">
      <formula>100</formula>
    </cfRule>
  </conditionalFormatting>
  <conditionalFormatting sqref="R13">
    <cfRule type="cellIs" dxfId="91" priority="291" stopIfTrue="1" operator="notEqual">
      <formula>100</formula>
    </cfRule>
  </conditionalFormatting>
  <conditionalFormatting sqref="X13">
    <cfRule type="cellIs" dxfId="90" priority="290" stopIfTrue="1" operator="notEqual">
      <formula>100</formula>
    </cfRule>
  </conditionalFormatting>
  <conditionalFormatting sqref="AD13">
    <cfRule type="cellIs" dxfId="89" priority="289" stopIfTrue="1" operator="notEqual">
      <formula>100</formula>
    </cfRule>
  </conditionalFormatting>
  <conditionalFormatting sqref="AJ13">
    <cfRule type="cellIs" dxfId="88" priority="288" stopIfTrue="1" operator="notEqual">
      <formula>100</formula>
    </cfRule>
  </conditionalFormatting>
  <conditionalFormatting sqref="AP13">
    <cfRule type="cellIs" dxfId="87" priority="287" stopIfTrue="1" operator="notEqual">
      <formula>100</formula>
    </cfRule>
  </conditionalFormatting>
  <conditionalFormatting sqref="G20:Q20">
    <cfRule type="cellIs" dxfId="86" priority="286" stopIfTrue="1" operator="notEqual">
      <formula>100</formula>
    </cfRule>
  </conditionalFormatting>
  <conditionalFormatting sqref="AV20:BO20">
    <cfRule type="cellIs" dxfId="85" priority="285" stopIfTrue="1" operator="notEqual">
      <formula>100</formula>
    </cfRule>
  </conditionalFormatting>
  <conditionalFormatting sqref="S20:W20 Y20:AC20 AE20:AI20 AK20:AO20 AQ20:AU20">
    <cfRule type="cellIs" dxfId="84" priority="284" stopIfTrue="1" operator="notEqual">
      <formula>100</formula>
    </cfRule>
  </conditionalFormatting>
  <conditionalFormatting sqref="R20">
    <cfRule type="cellIs" dxfId="83" priority="283" stopIfTrue="1" operator="notEqual">
      <formula>100</formula>
    </cfRule>
  </conditionalFormatting>
  <conditionalFormatting sqref="X20">
    <cfRule type="cellIs" dxfId="82" priority="282" stopIfTrue="1" operator="notEqual">
      <formula>100</formula>
    </cfRule>
  </conditionalFormatting>
  <conditionalFormatting sqref="AD20">
    <cfRule type="cellIs" dxfId="81" priority="281" stopIfTrue="1" operator="notEqual">
      <formula>100</formula>
    </cfRule>
  </conditionalFormatting>
  <conditionalFormatting sqref="AJ20">
    <cfRule type="cellIs" dxfId="80" priority="280" stopIfTrue="1" operator="notEqual">
      <formula>100</formula>
    </cfRule>
  </conditionalFormatting>
  <conditionalFormatting sqref="AP20">
    <cfRule type="cellIs" dxfId="79" priority="279" stopIfTrue="1" operator="notEqual">
      <formula>100</formula>
    </cfRule>
  </conditionalFormatting>
  <conditionalFormatting sqref="BP32:BR32">
    <cfRule type="cellIs" dxfId="78" priority="278" stopIfTrue="1" operator="notEqual">
      <formula>100</formula>
    </cfRule>
  </conditionalFormatting>
  <conditionalFormatting sqref="BP13:BT13">
    <cfRule type="cellIs" dxfId="77" priority="277" stopIfTrue="1" operator="notEqual">
      <formula>100</formula>
    </cfRule>
  </conditionalFormatting>
  <conditionalFormatting sqref="BP20:BT20">
    <cfRule type="cellIs" dxfId="76" priority="276" stopIfTrue="1" operator="notEqual">
      <formula>100</formula>
    </cfRule>
  </conditionalFormatting>
  <conditionalFormatting sqref="G21:Q21 G22:G23 L22:L24 L26:L27 L30">
    <cfRule type="cellIs" dxfId="75" priority="275" stopIfTrue="1" operator="notEqual">
      <formula>100</formula>
    </cfRule>
  </conditionalFormatting>
  <conditionalFormatting sqref="R21:R24 R26:R27 R30">
    <cfRule type="cellIs" dxfId="74" priority="272" stopIfTrue="1" operator="notEqual">
      <formula>100</formula>
    </cfRule>
  </conditionalFormatting>
  <conditionalFormatting sqref="X21:X24 X26:X27 X30">
    <cfRule type="cellIs" dxfId="73" priority="271" stopIfTrue="1" operator="notEqual">
      <formula>100</formula>
    </cfRule>
  </conditionalFormatting>
  <conditionalFormatting sqref="AD21:AD24 AD26:AD27 AD30">
    <cfRule type="cellIs" dxfId="72" priority="270" stopIfTrue="1" operator="notEqual">
      <formula>100</formula>
    </cfRule>
  </conditionalFormatting>
  <conditionalFormatting sqref="AJ21:AJ24 AJ26:AJ27 AJ30">
    <cfRule type="cellIs" dxfId="71" priority="269" stopIfTrue="1" operator="notEqual">
      <formula>100</formula>
    </cfRule>
  </conditionalFormatting>
  <conditionalFormatting sqref="AP21:AP24 AP26:AP27 AP30">
    <cfRule type="cellIs" dxfId="70" priority="268" stopIfTrue="1" operator="notEqual">
      <formula>100</formula>
    </cfRule>
  </conditionalFormatting>
  <conditionalFormatting sqref="S21:W21">
    <cfRule type="cellIs" dxfId="69" priority="266" stopIfTrue="1" operator="notEqual">
      <formula>100</formula>
    </cfRule>
  </conditionalFormatting>
  <conditionalFormatting sqref="Y21:AC21">
    <cfRule type="cellIs" dxfId="68" priority="265" stopIfTrue="1" operator="notEqual">
      <formula>100</formula>
    </cfRule>
  </conditionalFormatting>
  <conditionalFormatting sqref="AE21:AI21">
    <cfRule type="cellIs" dxfId="67" priority="264" stopIfTrue="1" operator="notEqual">
      <formula>100</formula>
    </cfRule>
  </conditionalFormatting>
  <conditionalFormatting sqref="AK21:AO21">
    <cfRule type="cellIs" dxfId="66" priority="263" stopIfTrue="1" operator="notEqual">
      <formula>100</formula>
    </cfRule>
  </conditionalFormatting>
  <conditionalFormatting sqref="AQ21:AU21">
    <cfRule type="cellIs" dxfId="65" priority="262" stopIfTrue="1" operator="notEqual">
      <formula>100</formula>
    </cfRule>
  </conditionalFormatting>
  <conditionalFormatting sqref="AV21:AZ21">
    <cfRule type="cellIs" dxfId="64" priority="261" stopIfTrue="1" operator="notEqual">
      <formula>100</formula>
    </cfRule>
  </conditionalFormatting>
  <conditionalFormatting sqref="BA21:BE21">
    <cfRule type="cellIs" dxfId="63" priority="260" stopIfTrue="1" operator="notEqual">
      <formula>100</formula>
    </cfRule>
  </conditionalFormatting>
  <conditionalFormatting sqref="BF21:BJ21">
    <cfRule type="cellIs" dxfId="62" priority="259" stopIfTrue="1" operator="notEqual">
      <formula>100</formula>
    </cfRule>
  </conditionalFormatting>
  <conditionalFormatting sqref="BK21:BO21">
    <cfRule type="cellIs" dxfId="61" priority="258" stopIfTrue="1" operator="notEqual">
      <formula>100</formula>
    </cfRule>
  </conditionalFormatting>
  <conditionalFormatting sqref="BP21:BT21">
    <cfRule type="cellIs" dxfId="60" priority="257" stopIfTrue="1" operator="notEqual">
      <formula>100</formula>
    </cfRule>
  </conditionalFormatting>
  <conditionalFormatting sqref="G24">
    <cfRule type="cellIs" dxfId="59" priority="256" stopIfTrue="1" operator="notEqual">
      <formula>100</formula>
    </cfRule>
  </conditionalFormatting>
  <conditionalFormatting sqref="G26">
    <cfRule type="cellIs" dxfId="58" priority="255" stopIfTrue="1" operator="notEqual">
      <formula>100</formula>
    </cfRule>
  </conditionalFormatting>
  <conditionalFormatting sqref="G27">
    <cfRule type="cellIs" dxfId="57" priority="254" stopIfTrue="1" operator="notEqual">
      <formula>100</formula>
    </cfRule>
  </conditionalFormatting>
  <conditionalFormatting sqref="G30">
    <cfRule type="cellIs" dxfId="56" priority="253" stopIfTrue="1" operator="notEqual">
      <formula>100</formula>
    </cfRule>
  </conditionalFormatting>
  <conditionalFormatting sqref="X25">
    <cfRule type="cellIs" dxfId="55" priority="195" stopIfTrue="1" operator="notEqual">
      <formula>100</formula>
    </cfRule>
  </conditionalFormatting>
  <conditionalFormatting sqref="L25">
    <cfRule type="cellIs" dxfId="54" priority="197" stopIfTrue="1" operator="notEqual">
      <formula>100</formula>
    </cfRule>
  </conditionalFormatting>
  <conditionalFormatting sqref="R25">
    <cfRule type="cellIs" dxfId="53" priority="196" stopIfTrue="1" operator="notEqual">
      <formula>100</formula>
    </cfRule>
  </conditionalFormatting>
  <conditionalFormatting sqref="AD25">
    <cfRule type="cellIs" dxfId="52" priority="194" stopIfTrue="1" operator="notEqual">
      <formula>100</formula>
    </cfRule>
  </conditionalFormatting>
  <conditionalFormatting sqref="AJ25">
    <cfRule type="cellIs" dxfId="51" priority="193" stopIfTrue="1" operator="notEqual">
      <formula>100</formula>
    </cfRule>
  </conditionalFormatting>
  <conditionalFormatting sqref="AP25">
    <cfRule type="cellIs" dxfId="50" priority="192" stopIfTrue="1" operator="notEqual">
      <formula>100</formula>
    </cfRule>
  </conditionalFormatting>
  <conditionalFormatting sqref="G25">
    <cfRule type="cellIs" dxfId="49" priority="191" stopIfTrue="1" operator="notEqual">
      <formula>100</formula>
    </cfRule>
  </conditionalFormatting>
  <conditionalFormatting sqref="AQ26">
    <cfRule type="cellIs" dxfId="48" priority="47" stopIfTrue="1" operator="notEqual">
      <formula>100</formula>
    </cfRule>
  </conditionalFormatting>
  <conditionalFormatting sqref="AK27">
    <cfRule type="cellIs" dxfId="47" priority="53" stopIfTrue="1" operator="notEqual">
      <formula>100</formula>
    </cfRule>
  </conditionalFormatting>
  <conditionalFormatting sqref="AE30">
    <cfRule type="cellIs" dxfId="46" priority="59" stopIfTrue="1" operator="notEqual">
      <formula>100</formula>
    </cfRule>
  </conditionalFormatting>
  <conditionalFormatting sqref="Y25">
    <cfRule type="cellIs" dxfId="45" priority="65" stopIfTrue="1" operator="notEqual">
      <formula>100</formula>
    </cfRule>
  </conditionalFormatting>
  <conditionalFormatting sqref="S28:S29">
    <cfRule type="cellIs" dxfId="44" priority="71" stopIfTrue="1" operator="notEqual">
      <formula>100</formula>
    </cfRule>
  </conditionalFormatting>
  <conditionalFormatting sqref="S22:S23">
    <cfRule type="cellIs" dxfId="43" priority="77" stopIfTrue="1" operator="notEqual">
      <formula>100</formula>
    </cfRule>
  </conditionalFormatting>
  <conditionalFormatting sqref="M24">
    <cfRule type="cellIs" dxfId="42" priority="83" stopIfTrue="1" operator="notEqual">
      <formula>100</formula>
    </cfRule>
  </conditionalFormatting>
  <conditionalFormatting sqref="L28:L29">
    <cfRule type="cellIs" dxfId="41" priority="179" stopIfTrue="1" operator="notEqual">
      <formula>100</formula>
    </cfRule>
  </conditionalFormatting>
  <conditionalFormatting sqref="R28:R29">
    <cfRule type="cellIs" dxfId="40" priority="178" stopIfTrue="1" operator="notEqual">
      <formula>100</formula>
    </cfRule>
  </conditionalFormatting>
  <conditionalFormatting sqref="X28:X29">
    <cfRule type="cellIs" dxfId="39" priority="177" stopIfTrue="1" operator="notEqual">
      <formula>100</formula>
    </cfRule>
  </conditionalFormatting>
  <conditionalFormatting sqref="AD28:AD29">
    <cfRule type="cellIs" dxfId="38" priority="176" stopIfTrue="1" operator="notEqual">
      <formula>100</formula>
    </cfRule>
  </conditionalFormatting>
  <conditionalFormatting sqref="AJ28:AJ29">
    <cfRule type="cellIs" dxfId="37" priority="175" stopIfTrue="1" operator="notEqual">
      <formula>100</formula>
    </cfRule>
  </conditionalFormatting>
  <conditionalFormatting sqref="AP28:AP29">
    <cfRule type="cellIs" dxfId="36" priority="174" stopIfTrue="1" operator="notEqual">
      <formula>100</formula>
    </cfRule>
  </conditionalFormatting>
  <conditionalFormatting sqref="G28:G29">
    <cfRule type="cellIs" dxfId="35" priority="173" stopIfTrue="1" operator="notEqual">
      <formula>100</formula>
    </cfRule>
  </conditionalFormatting>
  <conditionalFormatting sqref="S24">
    <cfRule type="cellIs" dxfId="34" priority="76" stopIfTrue="1" operator="notEqual">
      <formula>100</formula>
    </cfRule>
  </conditionalFormatting>
  <conditionalFormatting sqref="S26">
    <cfRule type="cellIs" dxfId="33" priority="75" stopIfTrue="1" operator="notEqual">
      <formula>100</formula>
    </cfRule>
  </conditionalFormatting>
  <conditionalFormatting sqref="S27">
    <cfRule type="cellIs" dxfId="32" priority="74" stopIfTrue="1" operator="notEqual">
      <formula>100</formula>
    </cfRule>
  </conditionalFormatting>
  <conditionalFormatting sqref="S30">
    <cfRule type="cellIs" dxfId="31" priority="73" stopIfTrue="1" operator="notEqual">
      <formula>100</formula>
    </cfRule>
  </conditionalFormatting>
  <conditionalFormatting sqref="S25">
    <cfRule type="cellIs" dxfId="30" priority="72" stopIfTrue="1" operator="notEqual">
      <formula>100</formula>
    </cfRule>
  </conditionalFormatting>
  <conditionalFormatting sqref="M22:M23">
    <cfRule type="cellIs" dxfId="29" priority="84" stopIfTrue="1" operator="notEqual">
      <formula>100</formula>
    </cfRule>
  </conditionalFormatting>
  <conditionalFormatting sqref="M26">
    <cfRule type="cellIs" dxfId="28" priority="82" stopIfTrue="1" operator="notEqual">
      <formula>100</formula>
    </cfRule>
  </conditionalFormatting>
  <conditionalFormatting sqref="M27">
    <cfRule type="cellIs" dxfId="27" priority="81" stopIfTrue="1" operator="notEqual">
      <formula>100</formula>
    </cfRule>
  </conditionalFormatting>
  <conditionalFormatting sqref="M30">
    <cfRule type="cellIs" dxfId="26" priority="80" stopIfTrue="1" operator="notEqual">
      <formula>100</formula>
    </cfRule>
  </conditionalFormatting>
  <conditionalFormatting sqref="M25">
    <cfRule type="cellIs" dxfId="25" priority="79" stopIfTrue="1" operator="notEqual">
      <formula>100</formula>
    </cfRule>
  </conditionalFormatting>
  <conditionalFormatting sqref="M28:M29">
    <cfRule type="cellIs" dxfId="24" priority="78" stopIfTrue="1" operator="notEqual">
      <formula>100</formula>
    </cfRule>
  </conditionalFormatting>
  <conditionalFormatting sqref="Y22:Y23">
    <cfRule type="cellIs" dxfId="23" priority="70" stopIfTrue="1" operator="notEqual">
      <formula>100</formula>
    </cfRule>
  </conditionalFormatting>
  <conditionalFormatting sqref="Y24">
    <cfRule type="cellIs" dxfId="22" priority="69" stopIfTrue="1" operator="notEqual">
      <formula>100</formula>
    </cfRule>
  </conditionalFormatting>
  <conditionalFormatting sqref="Y26">
    <cfRule type="cellIs" dxfId="21" priority="68" stopIfTrue="1" operator="notEqual">
      <formula>100</formula>
    </cfRule>
  </conditionalFormatting>
  <conditionalFormatting sqref="Y27">
    <cfRule type="cellIs" dxfId="20" priority="67" stopIfTrue="1" operator="notEqual">
      <formula>100</formula>
    </cfRule>
  </conditionalFormatting>
  <conditionalFormatting sqref="Y30">
    <cfRule type="cellIs" dxfId="19" priority="66" stopIfTrue="1" operator="notEqual">
      <formula>100</formula>
    </cfRule>
  </conditionalFormatting>
  <conditionalFormatting sqref="Y28:Y29">
    <cfRule type="cellIs" dxfId="18" priority="64" stopIfTrue="1" operator="notEqual">
      <formula>100</formula>
    </cfRule>
  </conditionalFormatting>
  <conditionalFormatting sqref="AE22:AE23">
    <cfRule type="cellIs" dxfId="17" priority="63" stopIfTrue="1" operator="notEqual">
      <formula>100</formula>
    </cfRule>
  </conditionalFormatting>
  <conditionalFormatting sqref="AE24">
    <cfRule type="cellIs" dxfId="16" priority="62" stopIfTrue="1" operator="notEqual">
      <formula>100</formula>
    </cfRule>
  </conditionalFormatting>
  <conditionalFormatting sqref="AE26">
    <cfRule type="cellIs" dxfId="15" priority="61" stopIfTrue="1" operator="notEqual">
      <formula>100</formula>
    </cfRule>
  </conditionalFormatting>
  <conditionalFormatting sqref="AE27">
    <cfRule type="cellIs" dxfId="14" priority="60" stopIfTrue="1" operator="notEqual">
      <formula>100</formula>
    </cfRule>
  </conditionalFormatting>
  <conditionalFormatting sqref="AE25">
    <cfRule type="cellIs" dxfId="13" priority="58" stopIfTrue="1" operator="notEqual">
      <formula>100</formula>
    </cfRule>
  </conditionalFormatting>
  <conditionalFormatting sqref="AE28:AE29">
    <cfRule type="cellIs" dxfId="12" priority="57" stopIfTrue="1" operator="notEqual">
      <formula>100</formula>
    </cfRule>
  </conditionalFormatting>
  <conditionalFormatting sqref="AK22:AK23">
    <cfRule type="cellIs" dxfId="11" priority="56" stopIfTrue="1" operator="notEqual">
      <formula>100</formula>
    </cfRule>
  </conditionalFormatting>
  <conditionalFormatting sqref="AK24">
    <cfRule type="cellIs" dxfId="10" priority="55" stopIfTrue="1" operator="notEqual">
      <formula>100</formula>
    </cfRule>
  </conditionalFormatting>
  <conditionalFormatting sqref="AK26">
    <cfRule type="cellIs" dxfId="9" priority="54" stopIfTrue="1" operator="notEqual">
      <formula>100</formula>
    </cfRule>
  </conditionalFormatting>
  <conditionalFormatting sqref="AK30">
    <cfRule type="cellIs" dxfId="8" priority="52" stopIfTrue="1" operator="notEqual">
      <formula>100</formula>
    </cfRule>
  </conditionalFormatting>
  <conditionalFormatting sqref="AK25">
    <cfRule type="cellIs" dxfId="7" priority="51" stopIfTrue="1" operator="notEqual">
      <formula>100</formula>
    </cfRule>
  </conditionalFormatting>
  <conditionalFormatting sqref="AK28:AK29">
    <cfRule type="cellIs" dxfId="6" priority="50" stopIfTrue="1" operator="notEqual">
      <formula>100</formula>
    </cfRule>
  </conditionalFormatting>
  <conditionalFormatting sqref="AQ22:AQ23">
    <cfRule type="cellIs" dxfId="5" priority="49" stopIfTrue="1" operator="notEqual">
      <formula>100</formula>
    </cfRule>
  </conditionalFormatting>
  <conditionalFormatting sqref="AQ24">
    <cfRule type="cellIs" dxfId="4" priority="48" stopIfTrue="1" operator="notEqual">
      <formula>100</formula>
    </cfRule>
  </conditionalFormatting>
  <conditionalFormatting sqref="AQ27">
    <cfRule type="cellIs" dxfId="3" priority="46" stopIfTrue="1" operator="notEqual">
      <formula>100</formula>
    </cfRule>
  </conditionalFormatting>
  <conditionalFormatting sqref="AQ30">
    <cfRule type="cellIs" dxfId="2" priority="45" stopIfTrue="1" operator="notEqual">
      <formula>100</formula>
    </cfRule>
  </conditionalFormatting>
  <conditionalFormatting sqref="AQ25">
    <cfRule type="cellIs" dxfId="1" priority="44" stopIfTrue="1" operator="notEqual">
      <formula>100</formula>
    </cfRule>
  </conditionalFormatting>
  <conditionalFormatting sqref="AQ28:AQ29">
    <cfRule type="cellIs" dxfId="0" priority="43" stopIfTrue="1" operator="notEqual">
      <formula>100</formula>
    </cfRule>
  </conditionalFormatting>
  <dataValidations disablePrompts="1" xWindow="158" yWindow="538" count="2">
    <dataValidation type="list" allowBlank="1" showInputMessage="1" showErrorMessage="1" sqref="F50:AU50 F41:AU42">
      <formula1>$B$98:$B$106</formula1>
    </dataValidation>
    <dataValidation type="list" allowBlank="1" showInputMessage="1" showErrorMessage="1" sqref="F43:AU49">
      <formula1>$E$98:$E$108</formula1>
    </dataValidation>
  </dataValidations>
  <pageMargins left="0.33" right="0.27" top="0.6" bottom="0.56999999999999995" header="0.5" footer="0.5"/>
  <pageSetup paperSize="9" scale="48"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4"/>
  <sheetViews>
    <sheetView topLeftCell="A4" zoomScale="85" zoomScaleNormal="85" workbookViewId="0">
      <selection activeCell="S20" sqref="S20"/>
    </sheetView>
  </sheetViews>
  <sheetFormatPr defaultRowHeight="15" x14ac:dyDescent="0.2"/>
  <cols>
    <col min="1" max="1" width="2.33203125" style="1" customWidth="1"/>
    <col min="2" max="2" width="30.88671875" style="1" customWidth="1"/>
    <col min="3" max="3" width="9.44140625" style="1" customWidth="1"/>
    <col min="4" max="4" width="5.44140625" style="1" customWidth="1"/>
    <col min="5" max="5" width="4.77734375" style="1" customWidth="1"/>
    <col min="6" max="6" width="9" style="1" customWidth="1"/>
    <col min="7" max="7" width="6.88671875" style="1" customWidth="1"/>
    <col min="8" max="8" width="10.44140625" style="1" customWidth="1"/>
    <col min="9" max="9" width="5.77734375" style="1" customWidth="1"/>
    <col min="10" max="10" width="11.6640625" style="1" customWidth="1"/>
    <col min="11" max="11" width="10.5546875" style="1" customWidth="1"/>
    <col min="12" max="12" width="11" style="1" customWidth="1"/>
    <col min="13" max="13" width="4.6640625" style="1" customWidth="1"/>
    <col min="14" max="16384" width="8.88671875" style="1"/>
  </cols>
  <sheetData>
    <row r="1" spans="1:23" ht="24" thickTop="1" x14ac:dyDescent="0.35">
      <c r="A1" s="8"/>
      <c r="B1" s="9"/>
      <c r="C1" s="9"/>
      <c r="D1" s="9"/>
      <c r="E1" s="9"/>
      <c r="F1" s="9"/>
      <c r="G1" s="9"/>
      <c r="H1" s="9"/>
      <c r="I1" s="9"/>
      <c r="J1" s="9"/>
      <c r="K1" s="9"/>
      <c r="L1" s="31"/>
      <c r="M1" s="9"/>
      <c r="N1" s="9"/>
      <c r="O1" s="9"/>
      <c r="P1" s="9"/>
      <c r="R1" s="31"/>
      <c r="S1" s="9"/>
      <c r="T1" s="9"/>
      <c r="U1" s="11"/>
    </row>
    <row r="2" spans="1:23" x14ac:dyDescent="0.2">
      <c r="A2" s="10"/>
      <c r="B2" s="11"/>
      <c r="C2" s="11"/>
      <c r="D2" s="11"/>
      <c r="E2" s="11"/>
      <c r="F2" s="11"/>
      <c r="G2" s="11"/>
      <c r="H2" s="11"/>
      <c r="I2" s="11"/>
      <c r="J2" s="11"/>
      <c r="K2" s="11"/>
      <c r="L2" s="32"/>
      <c r="M2" s="11"/>
      <c r="N2" s="11"/>
      <c r="R2" s="32"/>
      <c r="T2" s="11"/>
      <c r="U2" s="11"/>
    </row>
    <row r="3" spans="1:23" x14ac:dyDescent="0.2">
      <c r="A3" s="10"/>
      <c r="B3" s="11"/>
      <c r="C3" s="11"/>
      <c r="D3" s="11"/>
      <c r="E3" s="11"/>
      <c r="F3" s="11"/>
      <c r="G3" s="11"/>
      <c r="H3" s="11"/>
      <c r="I3" s="11"/>
      <c r="J3" s="11"/>
      <c r="K3" s="11"/>
      <c r="L3" s="11"/>
      <c r="M3" s="11"/>
      <c r="N3" s="11"/>
      <c r="O3" s="11"/>
      <c r="P3" s="11"/>
      <c r="Q3" s="11"/>
      <c r="R3" s="11"/>
      <c r="S3" s="11"/>
      <c r="T3" s="11"/>
      <c r="U3" s="11"/>
    </row>
    <row r="4" spans="1:23" ht="20.25" x14ac:dyDescent="0.3">
      <c r="A4" s="10"/>
      <c r="B4" s="11"/>
      <c r="C4" s="23"/>
      <c r="D4" s="23"/>
      <c r="E4" s="23"/>
      <c r="F4" s="23"/>
      <c r="G4" s="23"/>
      <c r="H4" s="23"/>
      <c r="J4" s="11"/>
      <c r="K4" s="11"/>
      <c r="L4" s="11"/>
      <c r="M4" s="11"/>
      <c r="N4" s="11"/>
      <c r="O4" s="11"/>
      <c r="P4" s="11"/>
      <c r="Q4" s="11"/>
      <c r="R4" s="11"/>
      <c r="S4" s="11"/>
      <c r="T4" s="11"/>
      <c r="U4" s="11"/>
    </row>
    <row r="5" spans="1:23" x14ac:dyDescent="0.2">
      <c r="A5" s="11"/>
      <c r="B5" s="11"/>
      <c r="C5" s="11"/>
      <c r="D5" s="11"/>
      <c r="E5" s="11"/>
      <c r="F5" s="11"/>
      <c r="G5" s="11"/>
      <c r="H5" s="11"/>
      <c r="I5" s="11"/>
      <c r="J5" s="11"/>
      <c r="K5" s="11"/>
      <c r="L5" s="11"/>
      <c r="M5" s="11"/>
      <c r="N5" s="11"/>
      <c r="O5" s="11"/>
      <c r="P5" s="11"/>
      <c r="Q5" s="11"/>
      <c r="R5" s="11"/>
      <c r="S5" s="11"/>
      <c r="T5" s="11"/>
      <c r="U5" s="11"/>
    </row>
    <row r="6" spans="1:23" s="5" customFormat="1" ht="16.5" customHeight="1" x14ac:dyDescent="0.25">
      <c r="A6" s="90"/>
      <c r="C6" s="38"/>
      <c r="D6" s="38"/>
      <c r="E6" s="38"/>
      <c r="F6" s="38"/>
      <c r="G6" s="38"/>
      <c r="H6" s="38"/>
      <c r="I6" s="1"/>
      <c r="J6" s="1"/>
      <c r="K6" s="1"/>
      <c r="L6" s="1"/>
      <c r="M6" s="1"/>
      <c r="N6" s="1"/>
      <c r="O6" s="1"/>
      <c r="P6" s="1"/>
      <c r="Q6" s="1"/>
      <c r="R6" s="1"/>
      <c r="S6" s="1"/>
      <c r="T6" s="1"/>
      <c r="U6" s="1"/>
      <c r="V6" s="1"/>
      <c r="W6" s="1"/>
    </row>
    <row r="7" spans="1:23" s="26" customFormat="1" ht="33" x14ac:dyDescent="0.35">
      <c r="A7" s="54" t="s">
        <v>72</v>
      </c>
      <c r="B7" s="28"/>
      <c r="C7" s="25" t="s">
        <v>101</v>
      </c>
      <c r="D7" s="25" t="s">
        <v>11</v>
      </c>
      <c r="E7" s="25" t="s">
        <v>69</v>
      </c>
      <c r="F7" s="25" t="s">
        <v>402</v>
      </c>
      <c r="G7" s="25" t="s">
        <v>11</v>
      </c>
      <c r="H7" s="25" t="s">
        <v>69</v>
      </c>
      <c r="I7" s="25" t="s">
        <v>130</v>
      </c>
      <c r="J7" s="25" t="s">
        <v>11</v>
      </c>
      <c r="K7" s="25" t="s">
        <v>84</v>
      </c>
      <c r="L7" s="25" t="s">
        <v>11</v>
      </c>
      <c r="M7" s="25" t="s">
        <v>69</v>
      </c>
    </row>
    <row r="8" spans="1:23" s="24" customFormat="1" ht="15.75" x14ac:dyDescent="0.25">
      <c r="A8" s="53"/>
      <c r="B8" s="48" t="s">
        <v>76</v>
      </c>
      <c r="C8" s="43"/>
      <c r="D8" s="43"/>
      <c r="E8" s="43"/>
      <c r="F8" s="43"/>
      <c r="G8" s="43"/>
      <c r="H8" s="43"/>
      <c r="I8" s="58"/>
      <c r="J8" s="59"/>
      <c r="K8" s="52"/>
    </row>
    <row r="9" spans="1:23" s="24" customFormat="1" ht="19.5" x14ac:dyDescent="0.35">
      <c r="A9" s="53"/>
      <c r="B9" s="56" t="s">
        <v>77</v>
      </c>
      <c r="C9" s="43">
        <v>38.6</v>
      </c>
      <c r="D9" s="298" t="s">
        <v>398</v>
      </c>
      <c r="E9" s="43">
        <v>19</v>
      </c>
      <c r="F9" s="43">
        <v>3.8999999999999999E-5</v>
      </c>
      <c r="G9" s="298" t="s">
        <v>501</v>
      </c>
      <c r="H9" s="43" t="s">
        <v>499</v>
      </c>
      <c r="I9" s="43">
        <v>69.2</v>
      </c>
      <c r="J9" s="298" t="s">
        <v>389</v>
      </c>
      <c r="K9" s="304">
        <f t="shared" ref="K9:K16" si="0">IF(ISNUMBER(I9),I9/1000000,0)</f>
        <v>6.9200000000000002E-5</v>
      </c>
      <c r="L9" s="5" t="s">
        <v>502</v>
      </c>
      <c r="M9" s="24">
        <f>References!B24</f>
        <v>19</v>
      </c>
    </row>
    <row r="10" spans="1:23" s="24" customFormat="1" ht="19.5" x14ac:dyDescent="0.35">
      <c r="A10" s="53"/>
      <c r="B10" s="297" t="s">
        <v>401</v>
      </c>
      <c r="C10" s="43">
        <v>38.6</v>
      </c>
      <c r="D10" s="298" t="s">
        <v>398</v>
      </c>
      <c r="E10" s="43">
        <v>20</v>
      </c>
      <c r="F10" s="43">
        <v>3.8999999999999999E-5</v>
      </c>
      <c r="G10" s="298" t="s">
        <v>501</v>
      </c>
      <c r="H10" s="43" t="s">
        <v>499</v>
      </c>
      <c r="I10" s="43">
        <v>69.2</v>
      </c>
      <c r="J10" s="298" t="s">
        <v>389</v>
      </c>
      <c r="K10" s="304">
        <f t="shared" si="0"/>
        <v>6.9200000000000002E-5</v>
      </c>
      <c r="L10" s="5" t="s">
        <v>502</v>
      </c>
      <c r="M10" s="24">
        <v>20</v>
      </c>
    </row>
    <row r="11" spans="1:23" s="24" customFormat="1" ht="20.25" x14ac:dyDescent="0.35">
      <c r="A11" s="53"/>
      <c r="B11" s="57" t="s">
        <v>78</v>
      </c>
      <c r="C11" s="298" t="s">
        <v>399</v>
      </c>
      <c r="D11" s="298" t="s">
        <v>396</v>
      </c>
      <c r="E11" s="43">
        <v>20</v>
      </c>
      <c r="F11" s="43">
        <v>1.8E-5</v>
      </c>
      <c r="G11" s="298" t="s">
        <v>501</v>
      </c>
      <c r="H11" s="298">
        <v>31</v>
      </c>
      <c r="I11" s="43">
        <v>51.2</v>
      </c>
      <c r="J11" s="298" t="s">
        <v>389</v>
      </c>
      <c r="K11" s="304">
        <f t="shared" si="0"/>
        <v>5.1200000000000004E-5</v>
      </c>
      <c r="L11" s="5" t="s">
        <v>502</v>
      </c>
      <c r="M11" s="24">
        <v>20</v>
      </c>
    </row>
    <row r="12" spans="1:23" s="24" customFormat="1" ht="19.5" x14ac:dyDescent="0.35">
      <c r="A12" s="53"/>
      <c r="B12" s="57" t="s">
        <v>79</v>
      </c>
      <c r="C12" s="43">
        <v>34.200000000000003</v>
      </c>
      <c r="D12" s="298" t="s">
        <v>398</v>
      </c>
      <c r="E12" s="43">
        <v>20</v>
      </c>
      <c r="F12" s="43">
        <v>4.0000000000000003E-5</v>
      </c>
      <c r="G12" s="298" t="s">
        <v>501</v>
      </c>
      <c r="H12" s="298">
        <v>31</v>
      </c>
      <c r="I12" s="43">
        <v>66.7</v>
      </c>
      <c r="J12" s="298" t="s">
        <v>389</v>
      </c>
      <c r="K12" s="304">
        <f t="shared" si="0"/>
        <v>6.6700000000000009E-5</v>
      </c>
      <c r="L12" s="5" t="s">
        <v>502</v>
      </c>
      <c r="M12" s="24">
        <v>20</v>
      </c>
    </row>
    <row r="13" spans="1:23" s="24" customFormat="1" ht="19.5" x14ac:dyDescent="0.35">
      <c r="A13" s="53"/>
      <c r="B13" s="57" t="s">
        <v>80</v>
      </c>
      <c r="C13" s="43">
        <v>39.700000000000003</v>
      </c>
      <c r="D13" s="298" t="s">
        <v>398</v>
      </c>
      <c r="E13" s="43">
        <v>20</v>
      </c>
      <c r="F13" s="43">
        <v>2.5000000000000001E-5</v>
      </c>
      <c r="G13" s="298" t="s">
        <v>501</v>
      </c>
      <c r="H13" s="43" t="s">
        <v>499</v>
      </c>
      <c r="I13" s="43">
        <v>72.900000000000006</v>
      </c>
      <c r="J13" s="298" t="s">
        <v>389</v>
      </c>
      <c r="K13" s="304">
        <f t="shared" si="0"/>
        <v>7.290000000000001E-5</v>
      </c>
      <c r="L13" s="5" t="s">
        <v>502</v>
      </c>
      <c r="M13" s="24">
        <v>20</v>
      </c>
      <c r="N13" s="5" t="s">
        <v>499</v>
      </c>
    </row>
    <row r="14" spans="1:23" s="24" customFormat="1" ht="19.5" x14ac:dyDescent="0.35">
      <c r="A14" s="53"/>
      <c r="B14" s="57" t="s">
        <v>73</v>
      </c>
      <c r="C14" s="43">
        <v>26.2</v>
      </c>
      <c r="D14" s="298" t="s">
        <v>398</v>
      </c>
      <c r="E14" s="43">
        <v>20</v>
      </c>
      <c r="F14" s="43">
        <v>1.8E-5</v>
      </c>
      <c r="G14" s="298" t="s">
        <v>501</v>
      </c>
      <c r="H14" s="298">
        <v>31</v>
      </c>
      <c r="I14" s="43">
        <v>59.6</v>
      </c>
      <c r="J14" s="298" t="s">
        <v>389</v>
      </c>
      <c r="K14" s="304">
        <f t="shared" si="0"/>
        <v>5.9599999999999999E-5</v>
      </c>
      <c r="L14" s="5" t="s">
        <v>502</v>
      </c>
      <c r="M14" s="24">
        <v>20</v>
      </c>
    </row>
    <row r="15" spans="1:23" s="24" customFormat="1" ht="19.5" x14ac:dyDescent="0.35">
      <c r="A15" s="53"/>
      <c r="B15" s="57" t="s">
        <v>74</v>
      </c>
      <c r="C15" s="43">
        <v>25.3</v>
      </c>
      <c r="D15" s="298" t="s">
        <v>398</v>
      </c>
      <c r="E15" s="43">
        <v>20</v>
      </c>
      <c r="F15" s="43">
        <v>1.8E-5</v>
      </c>
      <c r="G15" s="298" t="s">
        <v>501</v>
      </c>
      <c r="H15" s="298">
        <v>31</v>
      </c>
      <c r="I15" s="43">
        <v>51.2</v>
      </c>
      <c r="J15" s="298" t="s">
        <v>389</v>
      </c>
      <c r="K15" s="304">
        <f t="shared" si="0"/>
        <v>5.1200000000000004E-5</v>
      </c>
      <c r="L15" s="5" t="s">
        <v>502</v>
      </c>
      <c r="M15" s="24">
        <v>20</v>
      </c>
    </row>
    <row r="16" spans="1:23" s="24" customFormat="1" ht="19.5" x14ac:dyDescent="0.35">
      <c r="A16" s="53"/>
      <c r="B16" s="57" t="s">
        <v>75</v>
      </c>
      <c r="C16" s="43">
        <v>25.3</v>
      </c>
      <c r="D16" s="298" t="s">
        <v>398</v>
      </c>
      <c r="E16" s="43">
        <v>20</v>
      </c>
      <c r="F16" s="43">
        <v>1.8E-5</v>
      </c>
      <c r="G16" s="298" t="s">
        <v>501</v>
      </c>
      <c r="H16" s="298">
        <v>31</v>
      </c>
      <c r="I16" s="43">
        <v>51.2</v>
      </c>
      <c r="J16" s="298" t="s">
        <v>389</v>
      </c>
      <c r="K16" s="304">
        <f t="shared" si="0"/>
        <v>5.1200000000000004E-5</v>
      </c>
      <c r="L16" s="5" t="s">
        <v>502</v>
      </c>
      <c r="M16" s="24">
        <v>20</v>
      </c>
    </row>
    <row r="17" spans="1:14" s="24" customFormat="1" x14ac:dyDescent="0.2">
      <c r="A17" s="53"/>
      <c r="B17" s="57" t="s">
        <v>380</v>
      </c>
      <c r="C17" s="43"/>
      <c r="D17" s="43"/>
      <c r="E17" s="43"/>
      <c r="F17" s="43"/>
      <c r="G17" s="43"/>
      <c r="H17" s="43"/>
      <c r="I17" s="43"/>
      <c r="J17" s="43"/>
      <c r="K17" s="304">
        <f>IF(ISNUMBER(I17),I17/1000000,0)</f>
        <v>0</v>
      </c>
    </row>
    <row r="18" spans="1:14" s="24" customFormat="1" ht="15.75" x14ac:dyDescent="0.25">
      <c r="A18" s="53"/>
      <c r="B18" s="29" t="s">
        <v>414</v>
      </c>
      <c r="C18" s="43"/>
      <c r="D18" s="43"/>
      <c r="E18" s="43"/>
      <c r="F18" s="43"/>
      <c r="G18" s="43"/>
      <c r="H18" s="43"/>
      <c r="I18" s="43"/>
      <c r="J18" s="43"/>
      <c r="K18" s="304"/>
    </row>
    <row r="19" spans="1:14" s="24" customFormat="1" ht="19.5" x14ac:dyDescent="0.35">
      <c r="A19" s="53"/>
      <c r="B19" s="55" t="s">
        <v>207</v>
      </c>
      <c r="C19" s="43">
        <v>39.700000000000003</v>
      </c>
      <c r="D19" s="298" t="s">
        <v>397</v>
      </c>
      <c r="E19" s="43">
        <v>19</v>
      </c>
      <c r="F19" s="43">
        <v>2.5000000000000001E-5</v>
      </c>
      <c r="G19" s="298" t="s">
        <v>501</v>
      </c>
      <c r="H19" s="298"/>
      <c r="I19" s="43">
        <v>72.900000000000006</v>
      </c>
      <c r="J19" s="298" t="s">
        <v>389</v>
      </c>
      <c r="K19" s="304">
        <f t="shared" ref="K19:K29" si="1">IF(ISNUMBER(I19),I19/1000000,0)</f>
        <v>7.290000000000001E-5</v>
      </c>
      <c r="L19" s="5" t="s">
        <v>502</v>
      </c>
      <c r="M19" s="24">
        <v>19</v>
      </c>
    </row>
    <row r="20" spans="1:14" s="24" customFormat="1" ht="19.5" x14ac:dyDescent="0.35">
      <c r="A20" s="53"/>
      <c r="B20" s="57" t="s">
        <v>81</v>
      </c>
      <c r="C20" s="298">
        <v>10.199999999999999</v>
      </c>
      <c r="D20" s="298" t="s">
        <v>395</v>
      </c>
      <c r="E20" s="43">
        <v>17</v>
      </c>
      <c r="F20" s="43">
        <v>2.6999999999999999E-5</v>
      </c>
      <c r="G20" s="298" t="s">
        <v>501</v>
      </c>
      <c r="H20" s="298">
        <v>31</v>
      </c>
      <c r="I20" s="43">
        <v>92.7</v>
      </c>
      <c r="J20" s="298" t="s">
        <v>389</v>
      </c>
      <c r="K20" s="304">
        <f t="shared" si="1"/>
        <v>9.2700000000000004E-5</v>
      </c>
      <c r="L20" s="5" t="s">
        <v>502</v>
      </c>
      <c r="M20" s="24">
        <v>17</v>
      </c>
    </row>
    <row r="21" spans="1:14" s="24" customFormat="1" ht="19.5" x14ac:dyDescent="0.35">
      <c r="A21" s="53"/>
      <c r="B21" s="145" t="s">
        <v>385</v>
      </c>
      <c r="C21" s="43">
        <v>27</v>
      </c>
      <c r="D21" s="298" t="s">
        <v>395</v>
      </c>
      <c r="E21" s="43">
        <v>17</v>
      </c>
      <c r="F21" s="43">
        <v>3.0000000000000001E-5</v>
      </c>
      <c r="G21" s="298" t="s">
        <v>501</v>
      </c>
      <c r="H21" s="298">
        <v>31</v>
      </c>
      <c r="I21" s="43">
        <v>88.2</v>
      </c>
      <c r="J21" s="298" t="s">
        <v>389</v>
      </c>
      <c r="K21" s="304">
        <f t="shared" si="1"/>
        <v>8.8200000000000003E-5</v>
      </c>
      <c r="L21" s="5" t="s">
        <v>502</v>
      </c>
      <c r="M21" s="24">
        <v>17</v>
      </c>
      <c r="N21" s="5"/>
    </row>
    <row r="22" spans="1:14" s="24" customFormat="1" ht="20.25" x14ac:dyDescent="0.35">
      <c r="A22" s="53"/>
      <c r="B22" s="57" t="s">
        <v>78</v>
      </c>
      <c r="C22" s="298" t="s">
        <v>399</v>
      </c>
      <c r="D22" s="298" t="s">
        <v>396</v>
      </c>
      <c r="E22" s="43">
        <v>20</v>
      </c>
      <c r="F22" s="43">
        <v>1.8E-5</v>
      </c>
      <c r="G22" s="298" t="s">
        <v>501</v>
      </c>
      <c r="H22" s="298">
        <v>31</v>
      </c>
      <c r="I22" s="43">
        <v>51.2</v>
      </c>
      <c r="J22" s="298" t="s">
        <v>389</v>
      </c>
      <c r="K22" s="304">
        <f t="shared" si="1"/>
        <v>5.1200000000000004E-5</v>
      </c>
      <c r="L22" s="5" t="s">
        <v>502</v>
      </c>
      <c r="M22" s="24">
        <v>20</v>
      </c>
    </row>
    <row r="23" spans="1:14" s="24" customFormat="1" ht="19.5" x14ac:dyDescent="0.35">
      <c r="A23" s="53"/>
      <c r="B23" s="145" t="s">
        <v>386</v>
      </c>
      <c r="C23" s="43"/>
      <c r="D23" s="43"/>
      <c r="E23" s="43">
        <v>21</v>
      </c>
      <c r="F23" s="43">
        <v>2.0000000000000002E-5</v>
      </c>
      <c r="G23" s="298" t="s">
        <v>501</v>
      </c>
      <c r="H23" s="298" t="s">
        <v>462</v>
      </c>
      <c r="I23" s="43">
        <v>250</v>
      </c>
      <c r="J23" s="298" t="s">
        <v>389</v>
      </c>
      <c r="K23" s="304">
        <f>IF(ISNUMBER(I23),I23/1000000,0)</f>
        <v>2.5000000000000001E-4</v>
      </c>
      <c r="L23" s="5" t="s">
        <v>502</v>
      </c>
      <c r="M23" s="24">
        <v>21</v>
      </c>
      <c r="N23" s="5"/>
    </row>
    <row r="24" spans="1:14" s="24" customFormat="1" ht="19.5" x14ac:dyDescent="0.35">
      <c r="A24" s="53"/>
      <c r="B24" s="145" t="s">
        <v>413</v>
      </c>
      <c r="C24" s="43">
        <v>26.2</v>
      </c>
      <c r="D24" s="298" t="s">
        <v>398</v>
      </c>
      <c r="E24" s="43">
        <v>20</v>
      </c>
      <c r="F24" s="43">
        <v>1.8E-5</v>
      </c>
      <c r="G24" s="298" t="s">
        <v>501</v>
      </c>
      <c r="H24" s="298">
        <v>31</v>
      </c>
      <c r="I24" s="43">
        <v>59.6</v>
      </c>
      <c r="J24" s="298" t="s">
        <v>389</v>
      </c>
      <c r="K24" s="304">
        <f t="shared" si="1"/>
        <v>5.9599999999999999E-5</v>
      </c>
      <c r="L24" s="5" t="s">
        <v>502</v>
      </c>
      <c r="M24" s="24">
        <v>20</v>
      </c>
    </row>
    <row r="25" spans="1:14" s="24" customFormat="1" ht="19.5" x14ac:dyDescent="0.35">
      <c r="A25" s="53"/>
      <c r="B25" s="145" t="s">
        <v>500</v>
      </c>
      <c r="C25" s="43">
        <v>0.5</v>
      </c>
      <c r="D25" s="298" t="s">
        <v>395</v>
      </c>
      <c r="E25" s="43">
        <v>24</v>
      </c>
      <c r="F25" s="43">
        <v>3.8999999999999999E-5</v>
      </c>
      <c r="G25" s="298" t="s">
        <v>501</v>
      </c>
      <c r="H25" s="298">
        <v>31</v>
      </c>
      <c r="I25" s="43">
        <v>1</v>
      </c>
      <c r="J25" s="298" t="s">
        <v>389</v>
      </c>
      <c r="K25" s="304">
        <f t="shared" si="1"/>
        <v>9.9999999999999995E-7</v>
      </c>
      <c r="L25" s="5" t="s">
        <v>502</v>
      </c>
      <c r="M25" s="24">
        <v>24</v>
      </c>
    </row>
    <row r="26" spans="1:14" s="24" customFormat="1" ht="19.5" x14ac:dyDescent="0.35">
      <c r="A26" s="53"/>
      <c r="B26" s="57" t="s">
        <v>83</v>
      </c>
      <c r="C26" s="43"/>
      <c r="D26" s="43"/>
      <c r="E26" s="43"/>
      <c r="F26" s="43">
        <v>2.4000000000000001E-5</v>
      </c>
      <c r="G26" s="298" t="s">
        <v>501</v>
      </c>
      <c r="H26" s="43"/>
      <c r="I26" s="43"/>
      <c r="J26" s="43"/>
      <c r="K26" s="304">
        <f t="shared" si="1"/>
        <v>0</v>
      </c>
      <c r="L26" s="5" t="s">
        <v>502</v>
      </c>
    </row>
    <row r="27" spans="1:14" s="24" customFormat="1" ht="19.5" x14ac:dyDescent="0.35">
      <c r="A27" s="53"/>
      <c r="B27" s="57" t="s">
        <v>82</v>
      </c>
      <c r="C27" s="43"/>
      <c r="D27" s="43"/>
      <c r="E27" s="43"/>
      <c r="F27" s="43">
        <v>2.3E-5</v>
      </c>
      <c r="G27" s="298" t="s">
        <v>501</v>
      </c>
      <c r="H27" s="43"/>
      <c r="I27" s="43"/>
      <c r="J27" s="43"/>
      <c r="K27" s="304">
        <f t="shared" si="1"/>
        <v>0</v>
      </c>
      <c r="L27" s="5" t="s">
        <v>502</v>
      </c>
    </row>
    <row r="28" spans="1:14" ht="19.5" x14ac:dyDescent="0.35">
      <c r="A28" s="296"/>
      <c r="B28" s="297" t="s">
        <v>381</v>
      </c>
      <c r="C28" s="43">
        <v>5</v>
      </c>
      <c r="D28" s="298" t="s">
        <v>395</v>
      </c>
      <c r="E28" s="43">
        <v>24</v>
      </c>
      <c r="F28" s="43">
        <v>5.0000000000000002E-5</v>
      </c>
      <c r="G28" s="298" t="s">
        <v>501</v>
      </c>
      <c r="H28" s="298"/>
      <c r="I28" s="43">
        <v>10</v>
      </c>
      <c r="J28" s="298" t="s">
        <v>389</v>
      </c>
      <c r="K28" s="304">
        <f t="shared" si="1"/>
        <v>1.0000000000000001E-5</v>
      </c>
      <c r="L28" s="5" t="s">
        <v>502</v>
      </c>
      <c r="M28" s="24">
        <v>24</v>
      </c>
      <c r="N28" s="24"/>
    </row>
    <row r="29" spans="1:14" s="24" customFormat="1" ht="19.5" x14ac:dyDescent="0.35">
      <c r="A29" s="53"/>
      <c r="B29" s="145" t="s">
        <v>380</v>
      </c>
      <c r="C29" s="43"/>
      <c r="D29" s="43"/>
      <c r="E29" s="43"/>
      <c r="F29" s="43"/>
      <c r="G29" s="43"/>
      <c r="H29" s="43"/>
      <c r="I29" s="43"/>
      <c r="J29" s="298" t="s">
        <v>389</v>
      </c>
      <c r="K29" s="304">
        <f t="shared" si="1"/>
        <v>0</v>
      </c>
      <c r="L29" s="5" t="s">
        <v>502</v>
      </c>
    </row>
    <row r="30" spans="1:14" ht="18" x14ac:dyDescent="0.25">
      <c r="B30" s="90"/>
    </row>
    <row r="32" spans="1:14" x14ac:dyDescent="0.2">
      <c r="I32" s="91"/>
    </row>
    <row r="33" spans="9:9" x14ac:dyDescent="0.2">
      <c r="I33" s="91"/>
    </row>
    <row r="34" spans="9:9" x14ac:dyDescent="0.2">
      <c r="I34" s="91"/>
    </row>
  </sheetData>
  <phoneticPr fontId="2"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workbookViewId="0">
      <selection activeCell="K18" sqref="K18"/>
    </sheetView>
  </sheetViews>
  <sheetFormatPr defaultRowHeight="15" x14ac:dyDescent="0.2"/>
  <cols>
    <col min="1" max="1" width="37.5546875" customWidth="1"/>
    <col min="4" max="4" width="6.77734375" customWidth="1"/>
    <col min="5" max="5" width="7.33203125" customWidth="1"/>
    <col min="7" max="7" width="10" customWidth="1"/>
    <col min="8" max="8" width="11.21875" style="673" customWidth="1"/>
    <col min="9" max="9" width="13.33203125" style="676" customWidth="1"/>
  </cols>
  <sheetData>
    <row r="1" spans="1:9" ht="18.75" customHeight="1" x14ac:dyDescent="0.2">
      <c r="A1" s="305" t="s">
        <v>474</v>
      </c>
    </row>
    <row r="4" spans="1:9" s="307" customFormat="1" ht="75.75" customHeight="1" x14ac:dyDescent="0.25">
      <c r="A4" s="306" t="s">
        <v>463</v>
      </c>
      <c r="B4" s="307" t="s">
        <v>470</v>
      </c>
      <c r="C4" s="307" t="s">
        <v>478</v>
      </c>
      <c r="D4" s="307" t="s">
        <v>471</v>
      </c>
      <c r="E4" s="307" t="s">
        <v>472</v>
      </c>
      <c r="F4" s="307" t="s">
        <v>473</v>
      </c>
      <c r="G4" s="307" t="s">
        <v>477</v>
      </c>
      <c r="H4" s="678" t="s">
        <v>479</v>
      </c>
      <c r="I4" s="677" t="s">
        <v>480</v>
      </c>
    </row>
    <row r="5" spans="1:9" ht="15" customHeight="1" x14ac:dyDescent="0.25">
      <c r="A5" s="877" t="s">
        <v>487</v>
      </c>
      <c r="B5" s="877"/>
      <c r="C5" s="877"/>
      <c r="D5" s="877"/>
      <c r="E5" s="877"/>
      <c r="F5" s="877"/>
      <c r="G5" s="877"/>
      <c r="H5" s="678"/>
      <c r="I5" s="677"/>
    </row>
    <row r="6" spans="1:9" x14ac:dyDescent="0.2">
      <c r="A6" s="675" t="s">
        <v>464</v>
      </c>
      <c r="B6" s="675">
        <v>85</v>
      </c>
      <c r="C6" s="675">
        <v>65.7</v>
      </c>
      <c r="D6" s="675">
        <v>4.0999999999999996</v>
      </c>
      <c r="E6" s="675">
        <v>29.2</v>
      </c>
      <c r="F6" s="675">
        <v>1.2</v>
      </c>
      <c r="G6" s="675">
        <v>100.1</v>
      </c>
      <c r="H6" s="673">
        <f t="shared" ref="H6:H16" si="0">G6/$B$28</f>
        <v>96.249999999999986</v>
      </c>
      <c r="I6" s="676">
        <f>H6/$B$29</f>
        <v>2.6736111111111109E-5</v>
      </c>
    </row>
    <row r="7" spans="1:9" x14ac:dyDescent="0.2">
      <c r="A7" s="675" t="s">
        <v>465</v>
      </c>
      <c r="B7" s="675">
        <v>85</v>
      </c>
      <c r="C7" s="675">
        <v>84.4</v>
      </c>
      <c r="D7" s="675">
        <v>6.8</v>
      </c>
      <c r="E7" s="675">
        <v>30.7</v>
      </c>
      <c r="F7" s="675">
        <v>1.2</v>
      </c>
      <c r="G7" s="675">
        <v>123</v>
      </c>
      <c r="H7" s="673">
        <f t="shared" si="0"/>
        <v>118.26923076923076</v>
      </c>
      <c r="I7" s="676">
        <f t="shared" ref="I7:I22" si="1">H7/$B$29</f>
        <v>3.2852564102564102E-5</v>
      </c>
    </row>
    <row r="8" spans="1:9" x14ac:dyDescent="0.2">
      <c r="A8" s="675" t="s">
        <v>466</v>
      </c>
      <c r="B8" s="675">
        <v>85</v>
      </c>
      <c r="C8" s="675">
        <v>88.4</v>
      </c>
      <c r="D8" s="675">
        <v>8.8000000000000007</v>
      </c>
      <c r="E8" s="675">
        <v>37.200000000000003</v>
      </c>
      <c r="F8" s="675">
        <v>1.2</v>
      </c>
      <c r="G8" s="675">
        <v>135.5</v>
      </c>
      <c r="H8" s="673">
        <f t="shared" si="0"/>
        <v>130.28846153846155</v>
      </c>
      <c r="I8" s="676">
        <f t="shared" si="1"/>
        <v>3.6191239316239317E-5</v>
      </c>
    </row>
    <row r="9" spans="1:9" ht="15" customHeight="1" x14ac:dyDescent="0.2">
      <c r="A9" s="675" t="s">
        <v>481</v>
      </c>
      <c r="B9" s="675">
        <v>87</v>
      </c>
      <c r="C9" s="675">
        <v>15.8</v>
      </c>
      <c r="D9" s="675">
        <v>1.7</v>
      </c>
      <c r="E9" s="675">
        <v>48.4</v>
      </c>
      <c r="F9" s="675">
        <v>1.2</v>
      </c>
      <c r="G9" s="675">
        <v>67.099999999999994</v>
      </c>
      <c r="H9" s="673">
        <f t="shared" si="0"/>
        <v>64.519230769230759</v>
      </c>
      <c r="I9" s="676">
        <f t="shared" si="1"/>
        <v>1.7922008547008545E-5</v>
      </c>
    </row>
    <row r="10" spans="1:9" x14ac:dyDescent="0.2">
      <c r="A10" s="675" t="s">
        <v>482</v>
      </c>
      <c r="B10" s="675">
        <v>87</v>
      </c>
      <c r="C10" s="675">
        <v>17.399999999999999</v>
      </c>
      <c r="D10" s="675">
        <v>2</v>
      </c>
      <c r="E10" s="675">
        <v>45</v>
      </c>
      <c r="F10" s="675">
        <v>1.2</v>
      </c>
      <c r="G10" s="675">
        <v>65.599999999999994</v>
      </c>
      <c r="H10" s="673">
        <f t="shared" si="0"/>
        <v>63.076923076923066</v>
      </c>
      <c r="I10" s="676">
        <f t="shared" si="1"/>
        <v>1.752136752136752E-5</v>
      </c>
    </row>
    <row r="11" spans="1:9" x14ac:dyDescent="0.2">
      <c r="A11" s="675" t="s">
        <v>483</v>
      </c>
      <c r="B11" s="675">
        <v>87</v>
      </c>
      <c r="C11" s="675">
        <v>34</v>
      </c>
      <c r="D11" s="675">
        <v>4.0999999999999996</v>
      </c>
      <c r="E11" s="675">
        <v>54.1</v>
      </c>
      <c r="F11" s="675">
        <v>1.2</v>
      </c>
      <c r="G11" s="675">
        <v>93.4</v>
      </c>
      <c r="H11" s="673">
        <f t="shared" si="0"/>
        <v>89.807692307692307</v>
      </c>
      <c r="I11" s="676">
        <f t="shared" si="1"/>
        <v>2.4946581196581196E-5</v>
      </c>
    </row>
    <row r="12" spans="1:9" ht="14.25" customHeight="1" x14ac:dyDescent="0.2">
      <c r="A12" s="675" t="s">
        <v>484</v>
      </c>
      <c r="B12" s="675">
        <v>30</v>
      </c>
      <c r="C12" s="675">
        <v>44.2</v>
      </c>
      <c r="D12" s="675">
        <v>2.7</v>
      </c>
      <c r="E12" s="675">
        <v>80</v>
      </c>
      <c r="F12" s="675">
        <v>3.4</v>
      </c>
      <c r="G12" s="675">
        <v>130.30000000000001</v>
      </c>
      <c r="H12" s="673">
        <f t="shared" si="0"/>
        <v>125.28846153846155</v>
      </c>
      <c r="I12" s="676">
        <f t="shared" si="1"/>
        <v>3.480235042735043E-5</v>
      </c>
    </row>
    <row r="13" spans="1:9" x14ac:dyDescent="0.2">
      <c r="A13" s="675" t="s">
        <v>485</v>
      </c>
      <c r="B13" s="675">
        <v>30</v>
      </c>
      <c r="C13" s="675">
        <v>30.4</v>
      </c>
      <c r="D13" s="675">
        <v>2.6</v>
      </c>
      <c r="E13" s="675">
        <v>68.2</v>
      </c>
      <c r="F13" s="675">
        <v>3.4</v>
      </c>
      <c r="G13" s="675">
        <v>104.6</v>
      </c>
      <c r="H13" s="673">
        <f t="shared" si="0"/>
        <v>100.57692307692307</v>
      </c>
      <c r="I13" s="676">
        <f t="shared" si="1"/>
        <v>2.7938034188034184E-5</v>
      </c>
    </row>
    <row r="14" spans="1:9" x14ac:dyDescent="0.2">
      <c r="A14" s="675" t="s">
        <v>467</v>
      </c>
      <c r="B14" s="675">
        <v>90</v>
      </c>
      <c r="C14" s="675">
        <v>83.4</v>
      </c>
      <c r="D14" s="675">
        <v>11.6</v>
      </c>
      <c r="E14" s="675">
        <v>12.3</v>
      </c>
      <c r="F14" s="675">
        <v>1.1000000000000001</v>
      </c>
      <c r="G14" s="675">
        <v>108.4</v>
      </c>
      <c r="H14" s="673">
        <f t="shared" si="0"/>
        <v>104.23076923076923</v>
      </c>
      <c r="I14" s="676">
        <f t="shared" si="1"/>
        <v>2.8952991452991452E-5</v>
      </c>
    </row>
    <row r="15" spans="1:9" x14ac:dyDescent="0.2">
      <c r="A15" s="675" t="s">
        <v>468</v>
      </c>
      <c r="B15" s="675">
        <v>92</v>
      </c>
      <c r="C15" s="675">
        <v>76.2</v>
      </c>
      <c r="D15" s="675">
        <v>12</v>
      </c>
      <c r="E15" s="675">
        <v>0</v>
      </c>
      <c r="F15" s="675">
        <v>1.4</v>
      </c>
      <c r="G15" s="675">
        <v>89.6</v>
      </c>
      <c r="H15" s="673">
        <f t="shared" si="0"/>
        <v>86.153846153846146</v>
      </c>
      <c r="I15" s="676">
        <f t="shared" si="1"/>
        <v>2.3931623931623928E-5</v>
      </c>
    </row>
    <row r="16" spans="1:9" x14ac:dyDescent="0.2">
      <c r="A16" s="675" t="s">
        <v>469</v>
      </c>
      <c r="B16" s="675">
        <v>83</v>
      </c>
      <c r="C16" s="675">
        <v>53.2</v>
      </c>
      <c r="D16" s="675">
        <v>14.3</v>
      </c>
      <c r="E16" s="675">
        <v>42.3</v>
      </c>
      <c r="F16" s="675">
        <v>1.2</v>
      </c>
      <c r="G16" s="675">
        <v>111</v>
      </c>
      <c r="H16" s="673">
        <f t="shared" si="0"/>
        <v>106.73076923076923</v>
      </c>
      <c r="I16" s="676">
        <f t="shared" si="1"/>
        <v>2.9647435897435896E-5</v>
      </c>
    </row>
    <row r="17" spans="1:9" ht="15.75" x14ac:dyDescent="0.2">
      <c r="A17" s="877" t="s">
        <v>488</v>
      </c>
      <c r="B17" s="877"/>
      <c r="C17" s="877"/>
      <c r="D17" s="877"/>
      <c r="E17" s="877"/>
      <c r="F17" s="877"/>
      <c r="G17" s="877"/>
    </row>
    <row r="18" spans="1:9" ht="15" customHeight="1" x14ac:dyDescent="0.2">
      <c r="A18" s="675" t="s">
        <v>82</v>
      </c>
      <c r="B18" s="675">
        <v>34</v>
      </c>
      <c r="C18" s="675">
        <v>70.3</v>
      </c>
      <c r="D18" s="675">
        <v>13.1</v>
      </c>
      <c r="E18" s="675">
        <v>0</v>
      </c>
      <c r="F18" s="675">
        <v>3.2</v>
      </c>
      <c r="G18" s="675">
        <v>86.6</v>
      </c>
      <c r="H18" s="673">
        <f>G18/$B$28</f>
        <v>83.269230769230759</v>
      </c>
      <c r="I18" s="676">
        <f t="shared" si="1"/>
        <v>2.3130341880341877E-5</v>
      </c>
    </row>
    <row r="19" spans="1:9" x14ac:dyDescent="0.2">
      <c r="A19" s="675" t="s">
        <v>489</v>
      </c>
      <c r="B19" s="675">
        <v>37</v>
      </c>
      <c r="C19" s="675">
        <v>193.4</v>
      </c>
      <c r="D19" s="675">
        <v>22.4</v>
      </c>
      <c r="E19" s="675">
        <v>0</v>
      </c>
      <c r="F19" s="675">
        <v>5.7</v>
      </c>
      <c r="G19" s="675">
        <v>221.5</v>
      </c>
      <c r="H19" s="673">
        <f>G19/$B$28</f>
        <v>212.98076923076923</v>
      </c>
      <c r="I19" s="676">
        <f t="shared" si="1"/>
        <v>5.9161324786324786E-5</v>
      </c>
    </row>
    <row r="20" spans="1:9" ht="18" x14ac:dyDescent="0.2">
      <c r="A20" s="675" t="s">
        <v>490</v>
      </c>
      <c r="B20" s="675">
        <v>25</v>
      </c>
      <c r="C20" s="675">
        <v>130.4</v>
      </c>
      <c r="D20" s="675">
        <v>9.9</v>
      </c>
      <c r="E20" s="675">
        <v>0</v>
      </c>
      <c r="F20" s="675">
        <v>4</v>
      </c>
      <c r="G20" s="675">
        <v>144.30000000000001</v>
      </c>
      <c r="H20" s="673">
        <f>G20/$B$28</f>
        <v>138.75</v>
      </c>
      <c r="I20" s="676">
        <f t="shared" si="1"/>
        <v>3.8541666666666664E-5</v>
      </c>
    </row>
    <row r="21" spans="1:9" x14ac:dyDescent="0.2">
      <c r="A21" s="675" t="s">
        <v>491</v>
      </c>
      <c r="B21" s="675">
        <v>20</v>
      </c>
      <c r="C21" s="675">
        <v>214.2</v>
      </c>
      <c r="D21" s="675">
        <v>41.4</v>
      </c>
      <c r="E21" s="675">
        <v>0</v>
      </c>
      <c r="F21" s="675">
        <v>5.9</v>
      </c>
      <c r="G21" s="675">
        <v>261.5</v>
      </c>
      <c r="H21" s="673">
        <f>G21/$B$28</f>
        <v>251.44230769230768</v>
      </c>
      <c r="I21" s="676">
        <f t="shared" si="1"/>
        <v>6.984508547008547E-5</v>
      </c>
    </row>
    <row r="22" spans="1:9" ht="18" x14ac:dyDescent="0.2">
      <c r="A22" s="675" t="s">
        <v>492</v>
      </c>
      <c r="B22" s="675">
        <v>52</v>
      </c>
      <c r="C22" s="675">
        <v>78.099999999999994</v>
      </c>
      <c r="D22" s="675">
        <v>4.0999999999999996</v>
      </c>
      <c r="E22" s="675">
        <v>6.1</v>
      </c>
      <c r="F22" s="675">
        <v>2</v>
      </c>
      <c r="G22" s="675">
        <v>90.3</v>
      </c>
      <c r="H22" s="673">
        <f>G22/$B$28</f>
        <v>86.826923076923066</v>
      </c>
      <c r="I22" s="676">
        <f t="shared" si="1"/>
        <v>2.4118589743589739E-5</v>
      </c>
    </row>
    <row r="23" spans="1:9" x14ac:dyDescent="0.2">
      <c r="A23" s="675"/>
    </row>
    <row r="25" spans="1:9" x14ac:dyDescent="0.2">
      <c r="A25" s="674" t="s">
        <v>493</v>
      </c>
    </row>
    <row r="26" spans="1:9" x14ac:dyDescent="0.2">
      <c r="A26" s="305" t="s">
        <v>486</v>
      </c>
    </row>
    <row r="28" spans="1:9" x14ac:dyDescent="0.2">
      <c r="A28" s="305" t="s">
        <v>475</v>
      </c>
      <c r="B28">
        <v>1.04</v>
      </c>
    </row>
    <row r="29" spans="1:9" x14ac:dyDescent="0.2">
      <c r="A29" s="305" t="s">
        <v>476</v>
      </c>
      <c r="B29">
        <v>3600000</v>
      </c>
    </row>
    <row r="31" spans="1:9" x14ac:dyDescent="0.2">
      <c r="F31" s="305" t="s">
        <v>494</v>
      </c>
      <c r="G31" s="305" t="s">
        <v>497</v>
      </c>
      <c r="H31" s="679" t="s">
        <v>496</v>
      </c>
      <c r="I31" s="680" t="s">
        <v>498</v>
      </c>
    </row>
    <row r="32" spans="1:9" x14ac:dyDescent="0.2">
      <c r="A32" s="305" t="s">
        <v>79</v>
      </c>
      <c r="F32">
        <v>1.4</v>
      </c>
      <c r="G32" s="305">
        <v>34.6</v>
      </c>
      <c r="H32" s="673">
        <f>G32*1000</f>
        <v>34600</v>
      </c>
      <c r="I32" s="676">
        <f>F32/H32</f>
        <v>4.0462427745664735E-5</v>
      </c>
    </row>
    <row r="33" spans="1:9" x14ac:dyDescent="0.2">
      <c r="A33" s="305" t="s">
        <v>495</v>
      </c>
      <c r="F33">
        <v>1.5</v>
      </c>
      <c r="G33">
        <v>38.700000000000003</v>
      </c>
      <c r="H33" s="673">
        <f>G33*1000</f>
        <v>38700</v>
      </c>
      <c r="I33" s="676">
        <f>F33/H33</f>
        <v>3.8759689922480622E-5</v>
      </c>
    </row>
  </sheetData>
  <mergeCells count="2">
    <mergeCell ref="A5:G5"/>
    <mergeCell ref="A17:G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76"/>
  <sheetViews>
    <sheetView topLeftCell="A19" workbookViewId="0">
      <selection activeCell="O60" sqref="O60"/>
    </sheetView>
  </sheetViews>
  <sheetFormatPr defaultRowHeight="15" x14ac:dyDescent="0.2"/>
  <cols>
    <col min="1" max="1" width="3.6640625" style="169" customWidth="1"/>
    <col min="2" max="2" width="5.44140625" style="24" customWidth="1"/>
    <col min="3" max="3" width="44.6640625" style="24" customWidth="1"/>
    <col min="4" max="11" width="10" style="24" customWidth="1"/>
    <col min="12" max="12" width="11" style="24" customWidth="1"/>
    <col min="13" max="13" width="10" style="24" bestFit="1" customWidth="1"/>
    <col min="14" max="16384" width="8.88671875" style="24"/>
  </cols>
  <sheetData>
    <row r="1" spans="1:18" s="11" customFormat="1" ht="23.25" x14ac:dyDescent="0.35">
      <c r="H1" s="188"/>
      <c r="J1" s="188"/>
    </row>
    <row r="2" spans="1:18" s="1" customFormat="1" x14ac:dyDescent="0.2">
      <c r="A2" s="11"/>
      <c r="B2" s="11"/>
      <c r="D2" s="11"/>
      <c r="E2" s="11"/>
      <c r="F2" s="11"/>
      <c r="G2" s="11"/>
      <c r="H2" s="32"/>
      <c r="J2" s="32"/>
      <c r="P2" s="11"/>
      <c r="Q2" s="11"/>
    </row>
    <row r="3" spans="1:18" s="1" customFormat="1" ht="15" customHeight="1" x14ac:dyDescent="0.3">
      <c r="A3" s="11"/>
      <c r="B3" s="11"/>
      <c r="C3" s="23"/>
      <c r="D3" s="11"/>
      <c r="E3" s="11"/>
      <c r="F3" s="11"/>
      <c r="G3" s="11"/>
      <c r="H3" s="11"/>
      <c r="I3" s="11"/>
      <c r="J3" s="11"/>
      <c r="K3" s="11"/>
      <c r="L3" s="11"/>
      <c r="M3" s="11"/>
      <c r="N3" s="11"/>
      <c r="O3" s="11"/>
      <c r="P3" s="11"/>
      <c r="Q3" s="11"/>
    </row>
    <row r="4" spans="1:18" s="1" customFormat="1" ht="14.25" customHeight="1" x14ac:dyDescent="0.3">
      <c r="A4" s="11"/>
      <c r="B4" s="11"/>
      <c r="C4" s="23"/>
      <c r="D4" s="11"/>
      <c r="E4" s="11"/>
      <c r="F4" s="11"/>
      <c r="G4" s="11"/>
      <c r="H4" s="11"/>
      <c r="I4" s="11"/>
      <c r="J4" s="11"/>
      <c r="K4" s="11"/>
      <c r="L4" s="11"/>
      <c r="M4" s="11"/>
      <c r="N4" s="11"/>
      <c r="O4" s="11"/>
      <c r="P4" s="11"/>
      <c r="Q4" s="11"/>
    </row>
    <row r="5" spans="1:18" s="26" customFormat="1" ht="63" x14ac:dyDescent="0.25">
      <c r="A5" s="198"/>
      <c r="B5" s="28"/>
      <c r="C5" s="28"/>
      <c r="D5" s="49" t="s">
        <v>50</v>
      </c>
      <c r="E5" s="49" t="s">
        <v>20</v>
      </c>
      <c r="F5" s="49" t="s">
        <v>21</v>
      </c>
      <c r="G5" s="49" t="s">
        <v>38</v>
      </c>
      <c r="H5" s="49" t="s">
        <v>40</v>
      </c>
      <c r="I5" s="49" t="s">
        <v>27</v>
      </c>
      <c r="J5" s="49" t="s">
        <v>28</v>
      </c>
      <c r="K5" s="25" t="s">
        <v>97</v>
      </c>
      <c r="L5" s="25" t="s">
        <v>106</v>
      </c>
      <c r="M5" s="25" t="s">
        <v>66</v>
      </c>
    </row>
    <row r="6" spans="1:18" ht="15.75" x14ac:dyDescent="0.25">
      <c r="A6" s="191" t="s">
        <v>96</v>
      </c>
      <c r="B6" s="28"/>
      <c r="C6" s="48"/>
      <c r="D6" s="39" t="s">
        <v>164</v>
      </c>
      <c r="E6" s="39">
        <v>6</v>
      </c>
      <c r="F6" s="39">
        <v>6</v>
      </c>
      <c r="G6" s="39">
        <v>7</v>
      </c>
      <c r="H6" s="39">
        <v>11</v>
      </c>
      <c r="I6" s="39">
        <v>22</v>
      </c>
      <c r="J6" s="39">
        <v>22</v>
      </c>
      <c r="K6" s="39">
        <v>23</v>
      </c>
      <c r="L6" s="39">
        <v>24</v>
      </c>
      <c r="M6" s="39">
        <v>24</v>
      </c>
      <c r="N6" s="3"/>
      <c r="O6" s="3"/>
      <c r="P6" s="3"/>
      <c r="Q6" s="3"/>
      <c r="R6" s="3"/>
    </row>
    <row r="7" spans="1:18" ht="18.75" x14ac:dyDescent="0.35">
      <c r="A7" s="191" t="s">
        <v>148</v>
      </c>
      <c r="B7" s="48"/>
      <c r="C7" s="48"/>
      <c r="D7" s="59"/>
      <c r="E7" s="59"/>
      <c r="F7" s="59"/>
      <c r="G7" s="59"/>
      <c r="H7" s="59"/>
      <c r="I7" s="59"/>
      <c r="J7" s="59"/>
      <c r="K7" s="59"/>
      <c r="L7" s="59"/>
      <c r="M7" s="88"/>
      <c r="N7" s="3"/>
      <c r="O7" s="3"/>
      <c r="P7" s="3"/>
      <c r="Q7" s="3"/>
      <c r="R7" s="3"/>
    </row>
    <row r="8" spans="1:18" x14ac:dyDescent="0.2">
      <c r="A8" s="192"/>
      <c r="B8" s="53" t="s">
        <v>9</v>
      </c>
      <c r="C8" s="53"/>
      <c r="D8" s="43"/>
      <c r="E8" s="43"/>
      <c r="F8" s="43"/>
      <c r="G8" s="43"/>
      <c r="H8" s="43"/>
      <c r="I8" s="43">
        <v>2.8279999999999998E-3</v>
      </c>
      <c r="J8" s="43">
        <v>3.7000000000000002E-3</v>
      </c>
      <c r="K8" s="43"/>
      <c r="L8" s="43"/>
      <c r="M8" s="41"/>
    </row>
    <row r="9" spans="1:18" x14ac:dyDescent="0.2">
      <c r="A9" s="192"/>
      <c r="B9" s="53" t="s">
        <v>49</v>
      </c>
      <c r="C9" s="53"/>
      <c r="D9" s="43"/>
      <c r="E9" s="43"/>
      <c r="F9" s="43"/>
      <c r="G9" s="43"/>
      <c r="H9" s="43"/>
      <c r="I9" s="43">
        <v>6.9999999999999999E-4</v>
      </c>
      <c r="J9" s="43">
        <v>2.3E-3</v>
      </c>
      <c r="K9" s="43"/>
      <c r="L9" s="43"/>
      <c r="M9" s="41"/>
    </row>
    <row r="10" spans="1:18" x14ac:dyDescent="0.2">
      <c r="A10" s="192"/>
      <c r="B10" s="53" t="s">
        <v>10</v>
      </c>
      <c r="C10" s="53"/>
      <c r="D10" s="43"/>
      <c r="E10" s="43"/>
      <c r="F10" s="43"/>
      <c r="G10" s="43"/>
      <c r="H10" s="43"/>
      <c r="I10" s="43">
        <v>0.28299999999999997</v>
      </c>
      <c r="J10" s="43">
        <v>0.2253</v>
      </c>
      <c r="K10" s="43"/>
      <c r="L10" s="43"/>
      <c r="M10" s="41"/>
    </row>
    <row r="11" spans="1:18" x14ac:dyDescent="0.2">
      <c r="A11" s="192"/>
      <c r="B11" s="53" t="s">
        <v>51</v>
      </c>
      <c r="C11" s="53"/>
      <c r="D11" s="43"/>
      <c r="E11" s="43"/>
      <c r="F11" s="43"/>
      <c r="G11" s="43"/>
      <c r="H11" s="43"/>
      <c r="I11" s="43">
        <v>6.1199999999999997E-2</v>
      </c>
      <c r="J11" s="43">
        <v>5.7299999999999997E-2</v>
      </c>
      <c r="K11" s="43"/>
      <c r="L11" s="43"/>
      <c r="M11" s="41"/>
    </row>
    <row r="12" spans="1:18" x14ac:dyDescent="0.2">
      <c r="A12" s="192"/>
      <c r="B12" s="53" t="s">
        <v>59</v>
      </c>
      <c r="C12" s="53"/>
      <c r="D12" s="43">
        <v>0.49833</v>
      </c>
      <c r="E12" s="43"/>
      <c r="F12" s="43"/>
      <c r="G12" s="43"/>
      <c r="H12" s="43">
        <v>0.49</v>
      </c>
      <c r="I12" s="43">
        <v>0.48</v>
      </c>
      <c r="J12" s="43">
        <v>0.4264</v>
      </c>
      <c r="K12" s="43"/>
      <c r="L12" s="43"/>
      <c r="M12" s="41"/>
    </row>
    <row r="13" spans="1:18" x14ac:dyDescent="0.2">
      <c r="A13" s="192"/>
      <c r="B13" s="53" t="s">
        <v>61</v>
      </c>
      <c r="C13" s="53"/>
      <c r="D13" s="43" t="s">
        <v>63</v>
      </c>
      <c r="E13" s="43"/>
      <c r="F13" s="43"/>
      <c r="G13" s="43"/>
      <c r="H13" s="43" t="s">
        <v>62</v>
      </c>
      <c r="I13" s="43"/>
      <c r="J13" s="43"/>
      <c r="K13" s="43"/>
      <c r="L13" s="43"/>
      <c r="M13" s="41"/>
    </row>
    <row r="14" spans="1:18" x14ac:dyDescent="0.2">
      <c r="A14" s="192"/>
      <c r="B14" s="53" t="s">
        <v>44</v>
      </c>
      <c r="C14" s="53"/>
      <c r="D14" s="43"/>
      <c r="E14" s="43"/>
      <c r="F14" s="43"/>
      <c r="G14" s="43"/>
      <c r="H14" s="43"/>
      <c r="I14" s="43">
        <v>4.4999999999999997E-3</v>
      </c>
      <c r="J14" s="43">
        <v>4.4999999999999997E-3</v>
      </c>
      <c r="K14" s="43"/>
      <c r="L14" s="43"/>
      <c r="M14" s="41"/>
    </row>
    <row r="15" spans="1:18" x14ac:dyDescent="0.2">
      <c r="A15" s="192"/>
      <c r="B15" s="53" t="s">
        <v>52</v>
      </c>
      <c r="C15" s="53"/>
      <c r="D15" s="43"/>
      <c r="E15" s="43"/>
      <c r="F15" s="43"/>
      <c r="G15" s="43"/>
      <c r="H15" s="43"/>
      <c r="I15" s="43"/>
      <c r="J15" s="43"/>
      <c r="K15" s="43"/>
      <c r="L15" s="43"/>
      <c r="M15" s="41"/>
    </row>
    <row r="16" spans="1:18" x14ac:dyDescent="0.2">
      <c r="A16" s="192"/>
      <c r="B16" s="53" t="s">
        <v>10</v>
      </c>
      <c r="C16" s="53"/>
      <c r="D16" s="43"/>
      <c r="E16" s="43">
        <v>0.79100000000000004</v>
      </c>
      <c r="F16" s="43">
        <v>0.83099999999999996</v>
      </c>
      <c r="G16" s="43"/>
      <c r="H16" s="43"/>
      <c r="I16" s="43">
        <v>0.82702799999999987</v>
      </c>
      <c r="J16" s="43"/>
      <c r="K16" s="43"/>
      <c r="L16" s="43"/>
      <c r="M16" s="41"/>
    </row>
    <row r="17" spans="1:13" x14ac:dyDescent="0.2">
      <c r="A17" s="192"/>
      <c r="B17" s="53" t="s">
        <v>18</v>
      </c>
      <c r="C17" s="53"/>
      <c r="D17" s="43"/>
      <c r="E17" s="43">
        <v>8.0000000000000002E-3</v>
      </c>
      <c r="F17" s="43">
        <v>1.2999999999999999E-2</v>
      </c>
      <c r="G17" s="43"/>
      <c r="H17" s="43"/>
      <c r="I17" s="43">
        <v>6.9999999999999999E-4</v>
      </c>
      <c r="J17" s="43"/>
      <c r="K17" s="43"/>
      <c r="L17" s="43"/>
      <c r="M17" s="41"/>
    </row>
    <row r="18" spans="1:13" x14ac:dyDescent="0.2">
      <c r="A18" s="192"/>
      <c r="B18" s="53" t="s">
        <v>44</v>
      </c>
      <c r="C18" s="53"/>
      <c r="D18" s="43"/>
      <c r="E18" s="43">
        <v>3.5999999999999997E-2</v>
      </c>
      <c r="F18" s="43">
        <v>1.4E-2</v>
      </c>
      <c r="G18" s="43"/>
      <c r="H18" s="43"/>
      <c r="I18" s="43">
        <v>4.4999999999999997E-3</v>
      </c>
      <c r="J18" s="43"/>
      <c r="K18" s="43"/>
      <c r="L18" s="43"/>
      <c r="M18" s="41"/>
    </row>
    <row r="19" spans="1:13" ht="15.75" x14ac:dyDescent="0.25">
      <c r="A19" s="192"/>
      <c r="B19" s="48" t="s">
        <v>17</v>
      </c>
      <c r="C19" s="48"/>
      <c r="D19" s="43"/>
      <c r="E19" s="43">
        <f>SUM(E8:E18)</f>
        <v>0.83500000000000008</v>
      </c>
      <c r="F19" s="43">
        <f>SUM(F8:F18)</f>
        <v>0.85799999999999998</v>
      </c>
      <c r="G19" s="43">
        <f>SUM(G8:G18)</f>
        <v>0</v>
      </c>
      <c r="H19" s="43"/>
      <c r="I19" s="43">
        <f>SUM(I8:I14)</f>
        <v>0.83222799999999986</v>
      </c>
      <c r="J19" s="43">
        <f>SUM(J8:J18)</f>
        <v>0.71950000000000003</v>
      </c>
      <c r="K19" s="43"/>
      <c r="L19" s="43"/>
      <c r="M19" s="41"/>
    </row>
    <row r="20" spans="1:13" x14ac:dyDescent="0.2">
      <c r="A20" s="192"/>
      <c r="B20" s="53"/>
      <c r="C20" s="53"/>
      <c r="D20" s="43"/>
      <c r="E20" s="43"/>
      <c r="F20" s="43"/>
      <c r="G20" s="43"/>
      <c r="H20" s="43"/>
      <c r="I20" s="43"/>
      <c r="J20" s="43"/>
      <c r="K20" s="43"/>
      <c r="L20" s="43"/>
      <c r="M20" s="41"/>
    </row>
    <row r="21" spans="1:13" ht="15.75" x14ac:dyDescent="0.25">
      <c r="A21" s="86" t="s">
        <v>147</v>
      </c>
      <c r="B21" s="53"/>
      <c r="C21" s="49"/>
      <c r="D21" s="43"/>
      <c r="E21" s="50"/>
      <c r="F21" s="50"/>
      <c r="G21" s="43"/>
      <c r="H21" s="43"/>
      <c r="I21" s="50"/>
      <c r="J21" s="50"/>
      <c r="K21" s="43"/>
      <c r="L21" s="43"/>
      <c r="M21" s="41"/>
    </row>
    <row r="22" spans="1:13" x14ac:dyDescent="0.2">
      <c r="A22" s="192"/>
      <c r="B22" s="53" t="s">
        <v>9</v>
      </c>
      <c r="C22" s="53"/>
      <c r="D22" s="43">
        <v>44.42</v>
      </c>
      <c r="E22" s="43"/>
      <c r="F22" s="43"/>
      <c r="G22" s="43"/>
      <c r="H22" s="43"/>
      <c r="I22" s="43"/>
      <c r="J22" s="43"/>
      <c r="K22" s="43"/>
      <c r="L22" s="43"/>
      <c r="M22" s="41"/>
    </row>
    <row r="23" spans="1:13" x14ac:dyDescent="0.2">
      <c r="A23" s="192"/>
      <c r="B23" s="53" t="s">
        <v>71</v>
      </c>
      <c r="C23" s="53"/>
      <c r="D23" s="43">
        <v>80.3</v>
      </c>
      <c r="E23" s="43"/>
      <c r="F23" s="43"/>
      <c r="G23" s="43"/>
      <c r="H23" s="43"/>
      <c r="I23" s="43"/>
      <c r="J23" s="43"/>
      <c r="K23" s="43"/>
      <c r="L23" s="43"/>
      <c r="M23" s="41"/>
    </row>
    <row r="24" spans="1:13" x14ac:dyDescent="0.2">
      <c r="A24" s="192"/>
      <c r="B24" s="53" t="s">
        <v>67</v>
      </c>
      <c r="C24" s="53"/>
      <c r="D24" s="43">
        <f>SUM(D25:D27)</f>
        <v>87.49</v>
      </c>
      <c r="E24" s="43"/>
      <c r="F24" s="43"/>
      <c r="G24" s="43"/>
      <c r="H24" s="43"/>
      <c r="I24" s="43"/>
      <c r="J24" s="43"/>
      <c r="K24" s="43"/>
      <c r="L24" s="43"/>
      <c r="M24" s="41"/>
    </row>
    <row r="25" spans="1:13" x14ac:dyDescent="0.2">
      <c r="A25" s="192"/>
      <c r="B25" s="53"/>
      <c r="C25" s="53" t="s">
        <v>56</v>
      </c>
      <c r="D25" s="43">
        <v>17.77</v>
      </c>
      <c r="E25" s="43"/>
      <c r="F25" s="43"/>
      <c r="G25" s="43"/>
      <c r="H25" s="43"/>
      <c r="I25" s="43"/>
      <c r="J25" s="43"/>
      <c r="K25" s="43"/>
      <c r="L25" s="43"/>
      <c r="M25" s="41"/>
    </row>
    <row r="26" spans="1:13" x14ac:dyDescent="0.2">
      <c r="A26" s="192"/>
      <c r="B26" s="53"/>
      <c r="C26" s="53" t="s">
        <v>57</v>
      </c>
      <c r="D26" s="43">
        <v>35.53</v>
      </c>
      <c r="E26" s="43"/>
      <c r="F26" s="43"/>
      <c r="G26" s="43"/>
      <c r="H26" s="43"/>
      <c r="I26" s="43"/>
      <c r="J26" s="43"/>
      <c r="K26" s="43"/>
      <c r="L26" s="43"/>
      <c r="M26" s="41"/>
    </row>
    <row r="27" spans="1:13" x14ac:dyDescent="0.2">
      <c r="A27" s="192"/>
      <c r="B27" s="53"/>
      <c r="C27" s="53" t="s">
        <v>58</v>
      </c>
      <c r="D27" s="43">
        <v>34.19</v>
      </c>
      <c r="E27" s="43"/>
      <c r="F27" s="43"/>
      <c r="G27" s="43"/>
      <c r="H27" s="43"/>
      <c r="I27" s="43"/>
      <c r="J27" s="43"/>
      <c r="K27" s="43"/>
      <c r="L27" s="43"/>
      <c r="M27" s="41"/>
    </row>
    <row r="28" spans="1:13" x14ac:dyDescent="0.2">
      <c r="A28" s="192"/>
      <c r="B28" s="53"/>
      <c r="C28" s="297" t="s">
        <v>420</v>
      </c>
      <c r="D28" s="43">
        <v>0</v>
      </c>
      <c r="E28" s="43"/>
      <c r="F28" s="43"/>
      <c r="G28" s="43"/>
      <c r="H28" s="43"/>
      <c r="I28" s="43"/>
      <c r="J28" s="43"/>
      <c r="K28" s="43"/>
      <c r="L28" s="43"/>
      <c r="M28" s="41"/>
    </row>
    <row r="29" spans="1:13" x14ac:dyDescent="0.2">
      <c r="A29" s="192"/>
      <c r="B29" s="53" t="s">
        <v>51</v>
      </c>
      <c r="C29" s="53"/>
      <c r="D29" s="43"/>
      <c r="E29" s="43"/>
      <c r="F29" s="43"/>
      <c r="G29" s="43"/>
      <c r="H29" s="43"/>
      <c r="I29" s="43"/>
      <c r="J29" s="43"/>
      <c r="K29" s="43"/>
      <c r="L29" s="43"/>
      <c r="M29" s="41"/>
    </row>
    <row r="30" spans="1:13" x14ac:dyDescent="0.2">
      <c r="A30" s="192"/>
      <c r="B30" s="53"/>
      <c r="C30" s="53" t="s">
        <v>31</v>
      </c>
      <c r="D30" s="43"/>
      <c r="E30" s="43"/>
      <c r="F30" s="43"/>
      <c r="G30" s="43"/>
      <c r="H30" s="43">
        <v>90</v>
      </c>
      <c r="I30" s="43"/>
      <c r="J30" s="43"/>
      <c r="K30" s="43"/>
      <c r="L30" s="43"/>
      <c r="M30" s="41"/>
    </row>
    <row r="31" spans="1:13" x14ac:dyDescent="0.2">
      <c r="A31" s="192"/>
      <c r="B31" s="53"/>
      <c r="C31" s="53" t="s">
        <v>43</v>
      </c>
      <c r="D31" s="43"/>
      <c r="E31" s="43"/>
      <c r="F31" s="43"/>
      <c r="G31" s="43"/>
      <c r="H31" s="43">
        <v>108</v>
      </c>
      <c r="I31" s="43"/>
      <c r="J31" s="43"/>
      <c r="K31" s="43"/>
      <c r="L31" s="43"/>
      <c r="M31" s="41"/>
    </row>
    <row r="32" spans="1:13" x14ac:dyDescent="0.2">
      <c r="A32" s="192"/>
      <c r="B32" s="53"/>
      <c r="C32" s="53" t="s">
        <v>32</v>
      </c>
      <c r="D32" s="43"/>
      <c r="E32" s="43"/>
      <c r="F32" s="43"/>
      <c r="G32" s="43"/>
      <c r="H32" s="43">
        <v>90</v>
      </c>
      <c r="I32" s="43"/>
      <c r="J32" s="43"/>
      <c r="K32" s="43"/>
      <c r="L32" s="43"/>
      <c r="M32" s="41"/>
    </row>
    <row r="33" spans="1:13" x14ac:dyDescent="0.2">
      <c r="A33" s="192"/>
      <c r="B33" s="53"/>
      <c r="C33" s="53" t="s">
        <v>41</v>
      </c>
      <c r="D33" s="43"/>
      <c r="E33" s="43"/>
      <c r="F33" s="43"/>
      <c r="G33" s="43"/>
      <c r="H33" s="43">
        <v>79.2</v>
      </c>
      <c r="I33" s="43"/>
      <c r="J33" s="43"/>
      <c r="K33" s="43"/>
      <c r="L33" s="43"/>
      <c r="M33" s="41"/>
    </row>
    <row r="34" spans="1:13" x14ac:dyDescent="0.2">
      <c r="A34" s="192"/>
      <c r="B34" s="53"/>
      <c r="C34" s="53" t="s">
        <v>42</v>
      </c>
      <c r="D34" s="43"/>
      <c r="E34" s="43"/>
      <c r="F34" s="43"/>
      <c r="G34" s="43"/>
      <c r="H34" s="43"/>
      <c r="I34" s="43"/>
      <c r="J34" s="43"/>
      <c r="K34" s="43"/>
      <c r="L34" s="43"/>
      <c r="M34" s="41"/>
    </row>
    <row r="35" spans="1:13" x14ac:dyDescent="0.2">
      <c r="A35" s="192"/>
      <c r="B35" s="53" t="s">
        <v>30</v>
      </c>
      <c r="C35" s="53"/>
      <c r="D35" s="43"/>
      <c r="E35" s="43"/>
      <c r="F35" s="43"/>
      <c r="G35" s="43"/>
      <c r="H35" s="43"/>
      <c r="I35" s="43"/>
      <c r="J35" s="43"/>
      <c r="K35" s="43"/>
      <c r="L35" s="43"/>
      <c r="M35" s="41"/>
    </row>
    <row r="36" spans="1:13" ht="18" x14ac:dyDescent="0.2">
      <c r="A36" s="192"/>
      <c r="B36" s="53" t="s">
        <v>108</v>
      </c>
      <c r="C36" s="53"/>
      <c r="D36" s="43"/>
      <c r="E36" s="43"/>
      <c r="F36" s="43"/>
      <c r="G36" s="43"/>
      <c r="H36" s="43"/>
      <c r="I36" s="43"/>
      <c r="J36" s="43"/>
      <c r="K36" s="43">
        <f>1450+273</f>
        <v>1723</v>
      </c>
      <c r="L36" s="43"/>
      <c r="M36" s="41"/>
    </row>
    <row r="37" spans="1:13" x14ac:dyDescent="0.2">
      <c r="A37" s="192"/>
      <c r="B37" s="53"/>
      <c r="C37" s="53" t="s">
        <v>31</v>
      </c>
      <c r="D37" s="43"/>
      <c r="E37" s="43"/>
      <c r="F37" s="43"/>
      <c r="G37" s="51">
        <f>4.184*1450</f>
        <v>6066.8</v>
      </c>
      <c r="H37" s="43">
        <v>5900</v>
      </c>
      <c r="I37" s="43"/>
      <c r="J37" s="43"/>
      <c r="K37" s="43"/>
      <c r="L37" s="43"/>
      <c r="M37" s="41"/>
    </row>
    <row r="38" spans="1:13" x14ac:dyDescent="0.2">
      <c r="A38" s="192"/>
      <c r="B38" s="53"/>
      <c r="C38" s="53" t="s">
        <v>43</v>
      </c>
      <c r="D38" s="43"/>
      <c r="E38" s="43"/>
      <c r="F38" s="43"/>
      <c r="G38" s="51"/>
      <c r="H38" s="43">
        <v>3600</v>
      </c>
      <c r="I38" s="43"/>
      <c r="J38" s="43"/>
      <c r="K38" s="43"/>
      <c r="L38" s="43"/>
      <c r="M38" s="41"/>
    </row>
    <row r="39" spans="1:13" x14ac:dyDescent="0.2">
      <c r="A39" s="192"/>
      <c r="B39" s="53"/>
      <c r="C39" s="53" t="s">
        <v>32</v>
      </c>
      <c r="D39" s="43"/>
      <c r="E39" s="43"/>
      <c r="F39" s="43"/>
      <c r="G39" s="51">
        <f>4.184*1100</f>
        <v>4602.4000000000005</v>
      </c>
      <c r="H39" s="43">
        <v>4200</v>
      </c>
      <c r="I39" s="43"/>
      <c r="J39" s="43"/>
      <c r="K39" s="43"/>
      <c r="L39" s="43"/>
      <c r="M39" s="41"/>
    </row>
    <row r="40" spans="1:13" x14ac:dyDescent="0.2">
      <c r="A40" s="192"/>
      <c r="B40" s="53"/>
      <c r="C40" s="53" t="s">
        <v>41</v>
      </c>
      <c r="D40" s="43"/>
      <c r="E40" s="43"/>
      <c r="F40" s="43"/>
      <c r="G40" s="51"/>
      <c r="H40" s="43">
        <v>3100</v>
      </c>
      <c r="I40" s="43"/>
      <c r="J40" s="43"/>
      <c r="K40" s="43"/>
      <c r="L40" s="43"/>
      <c r="M40" s="41"/>
    </row>
    <row r="41" spans="1:13" x14ac:dyDescent="0.2">
      <c r="A41" s="192"/>
      <c r="B41" s="53"/>
      <c r="C41" s="53" t="s">
        <v>42</v>
      </c>
      <c r="D41" s="43"/>
      <c r="E41" s="43"/>
      <c r="F41" s="43"/>
      <c r="G41" s="51"/>
      <c r="H41" s="43">
        <v>5000</v>
      </c>
      <c r="I41" s="43"/>
      <c r="J41" s="43"/>
      <c r="K41" s="43"/>
      <c r="L41" s="43"/>
      <c r="M41" s="41"/>
    </row>
    <row r="42" spans="1:13" x14ac:dyDescent="0.2">
      <c r="A42" s="192"/>
      <c r="B42" s="53"/>
      <c r="C42" s="53" t="s">
        <v>33</v>
      </c>
      <c r="D42" s="43"/>
      <c r="E42" s="43"/>
      <c r="F42" s="43"/>
      <c r="G42" s="51">
        <f>4.184*1000</f>
        <v>4184</v>
      </c>
      <c r="H42" s="43"/>
      <c r="I42" s="43"/>
      <c r="J42" s="43"/>
      <c r="K42" s="43"/>
      <c r="L42" s="43"/>
      <c r="M42" s="41"/>
    </row>
    <row r="43" spans="1:13" x14ac:dyDescent="0.2">
      <c r="A43" s="192"/>
      <c r="B43" s="53"/>
      <c r="C43" s="53" t="s">
        <v>35</v>
      </c>
      <c r="D43" s="43"/>
      <c r="E43" s="43"/>
      <c r="F43" s="43"/>
      <c r="G43" s="51">
        <f>4.184*900</f>
        <v>3765.6000000000004</v>
      </c>
      <c r="H43" s="43"/>
      <c r="I43" s="43"/>
      <c r="J43" s="43"/>
      <c r="K43" s="43"/>
      <c r="L43" s="43"/>
      <c r="M43" s="41"/>
    </row>
    <row r="44" spans="1:13" x14ac:dyDescent="0.2">
      <c r="A44" s="192"/>
      <c r="B44" s="53"/>
      <c r="C44" s="53" t="s">
        <v>34</v>
      </c>
      <c r="D44" s="43"/>
      <c r="E44" s="43"/>
      <c r="F44" s="43"/>
      <c r="G44" s="51">
        <f>4.184*800</f>
        <v>3347.2000000000003</v>
      </c>
      <c r="H44" s="43"/>
      <c r="I44" s="43"/>
      <c r="J44" s="43"/>
      <c r="K44" s="43"/>
      <c r="L44" s="43"/>
      <c r="M44" s="41"/>
    </row>
    <row r="45" spans="1:13" x14ac:dyDescent="0.2">
      <c r="A45" s="192"/>
      <c r="B45" s="53"/>
      <c r="C45" s="53" t="s">
        <v>39</v>
      </c>
      <c r="D45" s="43"/>
      <c r="E45" s="43"/>
      <c r="F45" s="43"/>
      <c r="G45" s="51">
        <f>4.184*750</f>
        <v>3138</v>
      </c>
      <c r="H45" s="43"/>
      <c r="I45" s="43"/>
      <c r="J45" s="43"/>
      <c r="K45" s="43"/>
      <c r="L45" s="43"/>
      <c r="M45" s="41"/>
    </row>
    <row r="46" spans="1:13" x14ac:dyDescent="0.2">
      <c r="A46" s="192"/>
      <c r="B46" s="53"/>
      <c r="C46" s="53" t="s">
        <v>36</v>
      </c>
      <c r="D46" s="43"/>
      <c r="E46" s="43"/>
      <c r="F46" s="43"/>
      <c r="G46" s="51">
        <f>4.184*720</f>
        <v>3012.48</v>
      </c>
      <c r="H46" s="43"/>
      <c r="I46" s="43"/>
      <c r="J46" s="43"/>
      <c r="K46" s="43"/>
      <c r="L46" s="43"/>
      <c r="M46" s="41"/>
    </row>
    <row r="47" spans="1:13" x14ac:dyDescent="0.2">
      <c r="A47" s="192"/>
      <c r="B47" s="53"/>
      <c r="C47" s="53" t="s">
        <v>37</v>
      </c>
      <c r="D47" s="43"/>
      <c r="E47" s="43"/>
      <c r="F47" s="43"/>
      <c r="G47" s="51">
        <f>4.184*700</f>
        <v>2928.8</v>
      </c>
      <c r="H47" s="43"/>
      <c r="I47" s="43"/>
      <c r="J47" s="43"/>
      <c r="K47" s="43"/>
      <c r="L47" s="43"/>
      <c r="M47" s="41"/>
    </row>
    <row r="48" spans="1:13" x14ac:dyDescent="0.2">
      <c r="A48" s="192"/>
      <c r="B48" s="53"/>
      <c r="C48" s="53" t="s">
        <v>47</v>
      </c>
      <c r="D48" s="43"/>
      <c r="E48" s="43"/>
      <c r="F48" s="43"/>
      <c r="G48" s="51"/>
      <c r="H48" s="43">
        <v>4800</v>
      </c>
      <c r="I48" s="43"/>
      <c r="J48" s="43"/>
      <c r="K48" s="43"/>
      <c r="L48" s="43"/>
      <c r="M48" s="41"/>
    </row>
    <row r="49" spans="1:13" x14ac:dyDescent="0.2">
      <c r="A49" s="192"/>
      <c r="B49" s="53"/>
      <c r="C49" s="53" t="s">
        <v>54</v>
      </c>
      <c r="D49" s="43">
        <v>3983</v>
      </c>
      <c r="E49" s="43"/>
      <c r="F49" s="43"/>
      <c r="G49" s="43"/>
      <c r="H49" s="43"/>
      <c r="I49" s="43"/>
      <c r="J49" s="43"/>
      <c r="K49" s="43"/>
      <c r="L49" s="43"/>
      <c r="M49" s="41"/>
    </row>
    <row r="50" spans="1:13" x14ac:dyDescent="0.2">
      <c r="A50" s="192"/>
      <c r="B50" s="53"/>
      <c r="C50" s="53"/>
      <c r="D50" s="43"/>
      <c r="E50" s="43"/>
      <c r="F50" s="43"/>
      <c r="G50" s="43"/>
      <c r="H50" s="43"/>
      <c r="I50" s="43"/>
      <c r="J50" s="43"/>
      <c r="K50" s="43"/>
      <c r="L50" s="43"/>
      <c r="M50" s="41"/>
    </row>
    <row r="51" spans="1:13" x14ac:dyDescent="0.2">
      <c r="A51" s="192"/>
      <c r="B51" s="53"/>
      <c r="C51" s="53" t="s">
        <v>98</v>
      </c>
      <c r="D51" s="43"/>
      <c r="E51" s="43"/>
      <c r="F51" s="43"/>
      <c r="G51" s="43"/>
      <c r="H51" s="43"/>
      <c r="I51" s="43"/>
      <c r="J51" s="43"/>
      <c r="K51" s="43">
        <v>1807</v>
      </c>
      <c r="L51" s="43"/>
      <c r="M51" s="41"/>
    </row>
    <row r="52" spans="1:13" x14ac:dyDescent="0.2">
      <c r="A52" s="192"/>
      <c r="B52" s="53"/>
      <c r="C52" s="57" t="s">
        <v>88</v>
      </c>
      <c r="D52" s="40"/>
      <c r="E52" s="46"/>
      <c r="F52" s="46"/>
      <c r="G52" s="46"/>
      <c r="H52" s="46"/>
      <c r="I52" s="46"/>
      <c r="J52" s="46"/>
      <c r="K52" s="42">
        <v>13</v>
      </c>
      <c r="L52" s="43"/>
      <c r="M52" s="41"/>
    </row>
    <row r="53" spans="1:13" x14ac:dyDescent="0.2">
      <c r="A53" s="192"/>
      <c r="B53" s="53"/>
      <c r="C53" s="57" t="s">
        <v>89</v>
      </c>
      <c r="D53" s="46"/>
      <c r="E53" s="44"/>
      <c r="F53" s="46"/>
      <c r="G53" s="46"/>
      <c r="H53" s="46"/>
      <c r="I53" s="46"/>
      <c r="J53" s="46"/>
      <c r="K53" s="43">
        <v>623</v>
      </c>
      <c r="L53" s="43"/>
      <c r="M53" s="41"/>
    </row>
    <row r="54" spans="1:13" x14ac:dyDescent="0.2">
      <c r="A54" s="192"/>
      <c r="B54" s="53"/>
      <c r="C54" s="57" t="s">
        <v>92</v>
      </c>
      <c r="D54" s="46"/>
      <c r="E54" s="44"/>
      <c r="F54" s="46"/>
      <c r="G54" s="46"/>
      <c r="H54" s="46"/>
      <c r="I54" s="46"/>
      <c r="J54" s="46"/>
      <c r="K54" s="43">
        <v>88</v>
      </c>
      <c r="L54" s="43"/>
      <c r="M54" s="41"/>
    </row>
    <row r="55" spans="1:13" x14ac:dyDescent="0.2">
      <c r="A55" s="192"/>
      <c r="B55" s="53"/>
      <c r="C55" s="57" t="s">
        <v>90</v>
      </c>
      <c r="D55" s="40"/>
      <c r="E55" s="46"/>
      <c r="F55" s="46"/>
      <c r="G55" s="46"/>
      <c r="H55" s="46"/>
      <c r="I55" s="46"/>
      <c r="J55" s="46"/>
      <c r="K55" s="44">
        <v>427</v>
      </c>
      <c r="L55" s="43"/>
      <c r="M55" s="41"/>
    </row>
    <row r="56" spans="1:13" x14ac:dyDescent="0.2">
      <c r="A56" s="192"/>
      <c r="B56" s="53"/>
      <c r="C56" s="57" t="s">
        <v>91</v>
      </c>
      <c r="D56" s="40"/>
      <c r="E56" s="46"/>
      <c r="F56" s="46"/>
      <c r="G56" s="46"/>
      <c r="H56" s="46"/>
      <c r="I56" s="46"/>
      <c r="J56" s="46"/>
      <c r="K56" s="43">
        <v>348</v>
      </c>
      <c r="L56" s="43"/>
      <c r="M56" s="41"/>
    </row>
    <row r="57" spans="1:13" x14ac:dyDescent="0.2">
      <c r="A57" s="192"/>
      <c r="B57" s="53"/>
      <c r="C57" s="53"/>
      <c r="D57" s="43"/>
      <c r="E57" s="43"/>
      <c r="F57" s="43"/>
      <c r="G57" s="43"/>
      <c r="H57" s="43"/>
      <c r="I57" s="43"/>
      <c r="J57" s="43"/>
      <c r="K57" s="43"/>
      <c r="L57" s="43"/>
      <c r="M57" s="41"/>
    </row>
    <row r="58" spans="1:13" x14ac:dyDescent="0.2">
      <c r="A58" s="192"/>
      <c r="B58" s="53" t="s">
        <v>55</v>
      </c>
      <c r="C58" s="53"/>
      <c r="D58" s="43">
        <v>194.51</v>
      </c>
      <c r="E58" s="43"/>
      <c r="F58" s="43"/>
      <c r="G58" s="43"/>
      <c r="H58" s="127" t="s">
        <v>2</v>
      </c>
      <c r="I58" s="128"/>
      <c r="J58" s="129"/>
      <c r="K58" s="130"/>
      <c r="L58" s="43"/>
      <c r="M58" s="41"/>
    </row>
    <row r="59" spans="1:13" x14ac:dyDescent="0.2">
      <c r="A59" s="192"/>
      <c r="B59" s="53" t="s">
        <v>44</v>
      </c>
      <c r="C59" s="53"/>
      <c r="D59" s="43"/>
      <c r="E59" s="43"/>
      <c r="F59" s="43"/>
      <c r="G59" s="43"/>
      <c r="H59" s="101" t="s">
        <v>3</v>
      </c>
      <c r="I59" s="878" t="s">
        <v>4</v>
      </c>
      <c r="J59" s="879"/>
      <c r="K59" s="879"/>
      <c r="L59" s="43"/>
      <c r="M59" s="41">
        <v>250</v>
      </c>
    </row>
    <row r="60" spans="1:13" x14ac:dyDescent="0.2">
      <c r="A60" s="192"/>
      <c r="B60" s="53"/>
      <c r="C60" s="53"/>
      <c r="D60" s="43"/>
      <c r="E60" s="43"/>
      <c r="F60" s="43"/>
      <c r="G60" s="43"/>
      <c r="H60" s="131"/>
      <c r="I60" s="880" t="s">
        <v>5</v>
      </c>
      <c r="J60" s="879"/>
      <c r="K60" s="879"/>
      <c r="L60" s="43"/>
      <c r="M60" s="41"/>
    </row>
    <row r="61" spans="1:13" x14ac:dyDescent="0.2">
      <c r="A61" s="192"/>
      <c r="B61" s="53" t="s">
        <v>52</v>
      </c>
      <c r="C61" s="53"/>
      <c r="D61" s="43"/>
      <c r="E61" s="43"/>
      <c r="F61" s="43"/>
      <c r="G61" s="43"/>
      <c r="H61" s="132"/>
      <c r="I61" s="133" t="s">
        <v>6</v>
      </c>
      <c r="J61" s="134"/>
      <c r="K61" s="135"/>
      <c r="L61" s="43"/>
      <c r="M61" s="41"/>
    </row>
    <row r="62" spans="1:13" x14ac:dyDescent="0.2">
      <c r="A62" s="192"/>
      <c r="B62" s="53" t="s">
        <v>10</v>
      </c>
      <c r="C62" s="53"/>
      <c r="D62" s="43"/>
      <c r="E62" s="43">
        <v>3844</v>
      </c>
      <c r="F62" s="43">
        <v>5044</v>
      </c>
      <c r="G62" s="43"/>
      <c r="H62" s="136"/>
      <c r="I62" s="102" t="s">
        <v>7</v>
      </c>
      <c r="J62" s="137"/>
      <c r="K62" s="138"/>
      <c r="L62" s="43"/>
      <c r="M62" s="41"/>
    </row>
    <row r="63" spans="1:13" x14ac:dyDescent="0.2">
      <c r="A63" s="192"/>
      <c r="B63" s="53" t="s">
        <v>18</v>
      </c>
      <c r="C63" s="53"/>
      <c r="D63" s="43"/>
      <c r="E63" s="43">
        <v>79</v>
      </c>
      <c r="F63" s="43">
        <v>185</v>
      </c>
      <c r="G63" s="43"/>
      <c r="H63" s="139"/>
      <c r="I63" s="140" t="s">
        <v>68</v>
      </c>
      <c r="J63" s="141"/>
      <c r="K63" s="142"/>
      <c r="L63" s="43"/>
      <c r="M63" s="41"/>
    </row>
    <row r="64" spans="1:13" x14ac:dyDescent="0.2">
      <c r="A64" s="192"/>
      <c r="B64" s="53" t="s">
        <v>19</v>
      </c>
      <c r="C64" s="53"/>
      <c r="D64" s="43"/>
      <c r="E64" s="43">
        <v>508</v>
      </c>
      <c r="F64" s="43">
        <v>171</v>
      </c>
      <c r="G64" s="43"/>
      <c r="H64" s="143"/>
      <c r="I64" s="140" t="s">
        <v>16</v>
      </c>
      <c r="J64" s="141"/>
      <c r="K64" s="142"/>
      <c r="L64" s="43"/>
      <c r="M64" s="41"/>
    </row>
    <row r="65" spans="1:13" x14ac:dyDescent="0.2">
      <c r="A65" s="192"/>
      <c r="B65" s="53"/>
      <c r="C65" s="53"/>
      <c r="D65" s="43"/>
      <c r="E65" s="43"/>
      <c r="F65" s="43"/>
      <c r="G65" s="43"/>
      <c r="H65" s="43"/>
      <c r="I65" s="43"/>
      <c r="J65" s="43"/>
      <c r="K65" s="43"/>
      <c r="L65" s="43"/>
      <c r="M65" s="164"/>
    </row>
    <row r="66" spans="1:13" x14ac:dyDescent="0.2">
      <c r="A66" s="192"/>
      <c r="B66" s="81" t="s">
        <v>183</v>
      </c>
      <c r="C66" s="53"/>
      <c r="D66" s="125" t="s">
        <v>184</v>
      </c>
      <c r="E66" s="43"/>
      <c r="F66" s="43"/>
      <c r="G66" s="43"/>
      <c r="H66" s="43"/>
      <c r="I66" s="43"/>
      <c r="J66" s="43"/>
      <c r="K66" s="43"/>
      <c r="L66" s="43"/>
      <c r="M66" s="165">
        <v>1.24</v>
      </c>
    </row>
    <row r="67" spans="1:13" x14ac:dyDescent="0.2">
      <c r="A67" s="192"/>
      <c r="B67" s="53" t="s">
        <v>185</v>
      </c>
      <c r="C67" s="53"/>
      <c r="D67" s="43"/>
      <c r="E67" s="43"/>
      <c r="F67" s="43"/>
      <c r="G67" s="43"/>
      <c r="H67" s="43"/>
      <c r="I67" s="43"/>
      <c r="J67" s="43"/>
      <c r="K67" s="43"/>
      <c r="L67" s="43"/>
      <c r="M67" s="41">
        <v>1.6</v>
      </c>
    </row>
    <row r="68" spans="1:13" x14ac:dyDescent="0.2">
      <c r="A68" s="192"/>
      <c r="B68" s="55" t="s">
        <v>187</v>
      </c>
      <c r="C68" s="53"/>
      <c r="D68" s="43"/>
      <c r="E68" s="43"/>
      <c r="F68" s="43"/>
      <c r="G68" s="43"/>
      <c r="H68" s="43"/>
      <c r="I68" s="43"/>
      <c r="J68" s="43"/>
      <c r="K68" s="43"/>
      <c r="L68" s="43"/>
      <c r="M68" s="41">
        <v>0.625</v>
      </c>
    </row>
    <row r="69" spans="1:13" x14ac:dyDescent="0.2">
      <c r="A69" s="192"/>
      <c r="B69" s="55" t="s">
        <v>186</v>
      </c>
      <c r="C69" s="53"/>
      <c r="D69" s="125" t="s">
        <v>184</v>
      </c>
      <c r="E69" s="43"/>
      <c r="F69" s="43"/>
      <c r="G69" s="43"/>
      <c r="H69" s="43"/>
      <c r="I69" s="43"/>
      <c r="J69" s="43"/>
      <c r="K69" s="43"/>
      <c r="L69" s="43"/>
      <c r="M69" s="41">
        <f>M66*M68</f>
        <v>0.77500000000000002</v>
      </c>
    </row>
    <row r="70" spans="1:13" ht="15.75" x14ac:dyDescent="0.25">
      <c r="A70" s="191" t="s">
        <v>86</v>
      </c>
      <c r="B70" s="53"/>
      <c r="C70" s="53"/>
      <c r="D70" s="43"/>
      <c r="E70" s="43"/>
      <c r="F70" s="43"/>
      <c r="G70" s="43"/>
      <c r="H70" s="43"/>
      <c r="I70" s="43"/>
      <c r="J70" s="43"/>
      <c r="K70" s="43"/>
      <c r="L70" s="43"/>
      <c r="M70" s="41"/>
    </row>
    <row r="71" spans="1:13" x14ac:dyDescent="0.2">
      <c r="A71" s="192"/>
      <c r="B71" s="55" t="s">
        <v>70</v>
      </c>
      <c r="C71" s="53"/>
      <c r="D71" s="43">
        <v>0.498</v>
      </c>
      <c r="E71" s="43"/>
      <c r="F71" s="43"/>
      <c r="G71" s="43"/>
      <c r="H71" s="43"/>
      <c r="I71" s="43"/>
      <c r="J71" s="43"/>
      <c r="K71" s="43"/>
      <c r="L71" s="43"/>
      <c r="M71" s="41"/>
    </row>
    <row r="72" spans="1:13" ht="15.75" x14ac:dyDescent="0.25">
      <c r="A72" s="191" t="s">
        <v>167</v>
      </c>
      <c r="B72" s="48"/>
      <c r="C72" s="53"/>
      <c r="D72" s="52"/>
      <c r="E72" s="52"/>
      <c r="F72" s="52"/>
      <c r="G72" s="52"/>
      <c r="H72" s="52"/>
      <c r="I72" s="52"/>
      <c r="J72" s="52"/>
      <c r="K72" s="45">
        <f>SUM(K52:K56)</f>
        <v>1499</v>
      </c>
      <c r="L72" s="52"/>
      <c r="M72" s="52"/>
    </row>
    <row r="73" spans="1:13" ht="15.75" x14ac:dyDescent="0.25">
      <c r="A73" s="79" t="s">
        <v>8</v>
      </c>
      <c r="B73" s="48"/>
      <c r="C73" s="53"/>
      <c r="D73" s="52"/>
      <c r="E73" s="52"/>
      <c r="F73" s="52"/>
      <c r="G73" s="52"/>
      <c r="H73" s="52"/>
      <c r="I73" s="52"/>
      <c r="J73" s="52"/>
      <c r="K73" s="52">
        <f>SUM(K7:K69)-K36</f>
        <v>3306</v>
      </c>
      <c r="L73" s="52"/>
      <c r="M73" s="52"/>
    </row>
    <row r="74" spans="1:13" ht="15.75" x14ac:dyDescent="0.25">
      <c r="A74" s="79" t="s">
        <v>168</v>
      </c>
      <c r="B74" s="48"/>
      <c r="C74" s="53"/>
      <c r="D74" s="52"/>
      <c r="E74" s="52"/>
      <c r="F74" s="52"/>
      <c r="G74" s="52"/>
      <c r="H74" s="52"/>
      <c r="I74" s="52"/>
      <c r="J74" s="52"/>
      <c r="K74" s="89">
        <f>K72/K51</f>
        <v>0.82955174322080794</v>
      </c>
      <c r="L74" s="52"/>
      <c r="M74" s="52"/>
    </row>
    <row r="75" spans="1:13" ht="15.75" x14ac:dyDescent="0.25">
      <c r="A75" s="162"/>
      <c r="B75" s="6"/>
      <c r="E75" s="3"/>
      <c r="K75" s="163"/>
    </row>
    <row r="76" spans="1:13" x14ac:dyDescent="0.2">
      <c r="K76" s="163"/>
    </row>
  </sheetData>
  <mergeCells count="2">
    <mergeCell ref="I59:K59"/>
    <mergeCell ref="I60:K60"/>
  </mergeCells>
  <phoneticPr fontId="2" type="noConversion"/>
  <pageMargins left="0.75" right="0.75" top="1" bottom="1" header="0.5" footer="0.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66"/>
  <sheetViews>
    <sheetView topLeftCell="A40" workbookViewId="0">
      <selection sqref="A1:XFD1048576"/>
    </sheetView>
  </sheetViews>
  <sheetFormatPr defaultColWidth="7.109375" defaultRowHeight="15" x14ac:dyDescent="0.2"/>
  <cols>
    <col min="1" max="1" width="2.77734375" style="98" customWidth="1"/>
    <col min="2" max="2" width="42.6640625" style="98" customWidth="1"/>
    <col min="3" max="3" width="12.5546875" style="98" customWidth="1"/>
    <col min="4" max="6" width="15" style="98" customWidth="1"/>
    <col min="7" max="7" width="15" style="158" customWidth="1"/>
    <col min="8" max="8" width="14.33203125" style="98" customWidth="1"/>
    <col min="9" max="9" width="11.88671875" style="98" customWidth="1"/>
    <col min="10" max="10" width="13.21875" style="98" customWidth="1"/>
    <col min="11" max="11" width="13" style="98" customWidth="1"/>
    <col min="12" max="12" width="12.44140625" style="98" customWidth="1"/>
    <col min="13" max="16384" width="7.109375" style="98"/>
  </cols>
  <sheetData>
    <row r="1" spans="1:26" s="38" customFormat="1" ht="23.25" x14ac:dyDescent="0.35">
      <c r="A1" s="4"/>
      <c r="B1" s="4"/>
      <c r="C1" s="4"/>
      <c r="D1" s="4"/>
      <c r="E1" s="4"/>
      <c r="F1" s="4"/>
      <c r="G1" s="4"/>
      <c r="H1" s="4"/>
      <c r="I1" s="189"/>
      <c r="J1" s="4"/>
      <c r="K1" s="4"/>
      <c r="L1" s="300"/>
      <c r="M1" s="300"/>
      <c r="N1" s="4"/>
      <c r="O1" s="4"/>
      <c r="P1" s="4"/>
      <c r="Q1" s="4"/>
      <c r="R1" s="4"/>
      <c r="S1" s="4"/>
      <c r="T1" s="4"/>
      <c r="U1" s="4"/>
      <c r="V1" s="4"/>
      <c r="W1" s="4"/>
      <c r="X1" s="4"/>
      <c r="Y1" s="4"/>
      <c r="Z1" s="4"/>
    </row>
    <row r="2" spans="1:26" s="38" customFormat="1" x14ac:dyDescent="0.2">
      <c r="A2" s="4"/>
      <c r="B2" s="4"/>
      <c r="C2" s="4"/>
      <c r="D2" s="4"/>
      <c r="E2" s="4"/>
      <c r="F2" s="4"/>
      <c r="G2" s="4"/>
      <c r="I2" s="32"/>
      <c r="L2" s="300"/>
      <c r="M2" s="300"/>
      <c r="O2" s="4"/>
      <c r="P2" s="4"/>
    </row>
    <row r="3" spans="1:26" s="38" customFormat="1" ht="15" customHeight="1" x14ac:dyDescent="0.2">
      <c r="A3" s="4"/>
      <c r="B3" s="4"/>
      <c r="C3" s="4"/>
      <c r="D3" s="4"/>
      <c r="E3" s="4"/>
      <c r="F3" s="4"/>
      <c r="G3" s="4"/>
      <c r="H3" s="4"/>
      <c r="I3" s="4"/>
      <c r="J3" s="4"/>
      <c r="K3" s="4"/>
      <c r="L3" s="300"/>
      <c r="M3" s="300"/>
      <c r="N3" s="4"/>
      <c r="O3" s="4"/>
      <c r="P3" s="4"/>
    </row>
    <row r="4" spans="1:26" s="38" customFormat="1" ht="14.25" customHeight="1" x14ac:dyDescent="0.2">
      <c r="A4" s="4"/>
      <c r="B4" s="4"/>
      <c r="C4" s="4"/>
      <c r="D4" s="4"/>
      <c r="E4" s="4"/>
      <c r="F4" s="4"/>
      <c r="G4" s="4"/>
      <c r="H4" s="4"/>
      <c r="I4" s="4"/>
      <c r="J4" s="4"/>
      <c r="K4" s="4"/>
      <c r="L4" s="300"/>
      <c r="M4" s="300"/>
      <c r="N4" s="4"/>
      <c r="O4" s="4"/>
      <c r="P4" s="4"/>
    </row>
    <row r="5" spans="1:26" s="64" customFormat="1" ht="15.75" x14ac:dyDescent="0.25">
      <c r="A5" s="76"/>
      <c r="B5" s="77" t="s">
        <v>400</v>
      </c>
      <c r="C5" s="97"/>
      <c r="D5" s="110"/>
      <c r="E5" s="76"/>
      <c r="F5" s="76"/>
      <c r="G5" s="76"/>
      <c r="H5" s="79" t="s">
        <v>171</v>
      </c>
      <c r="I5" s="97"/>
      <c r="J5" s="97"/>
      <c r="K5" s="97"/>
      <c r="L5" s="97"/>
    </row>
    <row r="6" spans="1:26" s="64" customFormat="1" ht="15.75" x14ac:dyDescent="0.25">
      <c r="A6" s="76"/>
      <c r="B6" s="77"/>
      <c r="C6" s="97"/>
      <c r="D6" s="110"/>
      <c r="E6" s="76"/>
      <c r="F6" s="76"/>
      <c r="G6" s="76"/>
      <c r="H6" s="76"/>
      <c r="I6" s="76"/>
      <c r="J6" s="76"/>
      <c r="K6" s="76"/>
      <c r="L6" s="76"/>
    </row>
    <row r="7" spans="1:26" s="64" customFormat="1" ht="78.75" customHeight="1" x14ac:dyDescent="0.25">
      <c r="A7" s="79"/>
      <c r="B7" s="80"/>
      <c r="C7" s="77" t="s">
        <v>11</v>
      </c>
      <c r="D7" s="881" t="s">
        <v>129</v>
      </c>
      <c r="E7" s="881"/>
      <c r="F7" s="881"/>
      <c r="G7" s="881"/>
      <c r="H7" s="25" t="s">
        <v>117</v>
      </c>
      <c r="I7" s="25" t="s">
        <v>118</v>
      </c>
      <c r="J7" s="25" t="s">
        <v>119</v>
      </c>
      <c r="K7" s="25" t="s">
        <v>121</v>
      </c>
      <c r="L7" s="25" t="s">
        <v>126</v>
      </c>
    </row>
    <row r="8" spans="1:26" s="64" customFormat="1" ht="35.25" customHeight="1" x14ac:dyDescent="0.35">
      <c r="A8" s="79" t="s">
        <v>336</v>
      </c>
      <c r="B8" s="80"/>
      <c r="C8" s="77"/>
      <c r="D8" s="77"/>
      <c r="E8" s="77"/>
      <c r="F8" s="77"/>
      <c r="G8" s="77"/>
      <c r="H8" s="76"/>
      <c r="I8" s="25"/>
      <c r="J8" s="78" t="s">
        <v>120</v>
      </c>
      <c r="K8" s="78" t="s">
        <v>122</v>
      </c>
      <c r="L8" s="25" t="s">
        <v>127</v>
      </c>
    </row>
    <row r="9" spans="1:26" s="64" customFormat="1" ht="18.75" x14ac:dyDescent="0.35">
      <c r="A9" s="81"/>
      <c r="B9" s="81"/>
      <c r="C9" s="111" t="s">
        <v>331</v>
      </c>
      <c r="D9" s="111" t="s">
        <v>116</v>
      </c>
      <c r="E9" s="111" t="s">
        <v>332</v>
      </c>
      <c r="F9" s="111" t="s">
        <v>130</v>
      </c>
      <c r="G9" s="111"/>
      <c r="H9" s="57" t="s">
        <v>217</v>
      </c>
      <c r="I9" s="112" t="s">
        <v>218</v>
      </c>
      <c r="J9" s="213">
        <v>-1723.7460000000001</v>
      </c>
      <c r="K9" s="213">
        <v>-1977.26</v>
      </c>
      <c r="L9" s="213">
        <v>195.62</v>
      </c>
    </row>
    <row r="10" spans="1:26" s="64" customFormat="1" ht="15.75" x14ac:dyDescent="0.25">
      <c r="A10" s="114"/>
      <c r="B10" s="114"/>
      <c r="C10" s="245" t="s">
        <v>337</v>
      </c>
      <c r="D10" s="246" t="s">
        <v>328</v>
      </c>
      <c r="E10" s="67"/>
      <c r="F10" s="67"/>
      <c r="G10" s="111"/>
      <c r="H10" s="57" t="s">
        <v>149</v>
      </c>
      <c r="I10" s="112" t="s">
        <v>125</v>
      </c>
      <c r="J10" s="213">
        <v>-569.19600000000003</v>
      </c>
      <c r="K10" s="213">
        <v>-601.49</v>
      </c>
      <c r="L10" s="213">
        <v>26.94</v>
      </c>
    </row>
    <row r="11" spans="1:26" s="64" customFormat="1" ht="18" customHeight="1" x14ac:dyDescent="0.35">
      <c r="A11" s="113"/>
      <c r="B11" s="113"/>
      <c r="C11" s="244" t="s">
        <v>132</v>
      </c>
      <c r="D11" s="248" t="s">
        <v>334</v>
      </c>
      <c r="E11" s="248" t="s">
        <v>335</v>
      </c>
      <c r="F11" s="115" t="s">
        <v>333</v>
      </c>
      <c r="G11" s="111"/>
      <c r="H11" s="57" t="s">
        <v>150</v>
      </c>
      <c r="I11" s="112" t="s">
        <v>123</v>
      </c>
      <c r="J11" s="213">
        <v>-394.375</v>
      </c>
      <c r="K11" s="213">
        <v>-393.51</v>
      </c>
      <c r="L11" s="213">
        <v>213.79</v>
      </c>
    </row>
    <row r="12" spans="1:26" s="93" customFormat="1" x14ac:dyDescent="0.2">
      <c r="A12" s="92"/>
      <c r="B12" s="92"/>
      <c r="C12" s="119">
        <f>K11</f>
        <v>-393.51</v>
      </c>
      <c r="D12" s="119">
        <f>K10</f>
        <v>-601.49</v>
      </c>
      <c r="E12" s="119">
        <f>3*K12</f>
        <v>-725.43000000000006</v>
      </c>
      <c r="F12" s="119">
        <f>K9</f>
        <v>-1977.26</v>
      </c>
      <c r="G12" s="119"/>
      <c r="H12" s="225" t="s">
        <v>219</v>
      </c>
      <c r="I12" s="116" t="s">
        <v>220</v>
      </c>
      <c r="J12" s="68" t="s">
        <v>221</v>
      </c>
      <c r="K12" s="68" t="s">
        <v>222</v>
      </c>
      <c r="L12" s="68" t="s">
        <v>223</v>
      </c>
    </row>
    <row r="13" spans="1:26" s="94" customFormat="1" ht="14.25" customHeight="1" x14ac:dyDescent="0.35">
      <c r="A13" s="247" t="s">
        <v>131</v>
      </c>
      <c r="B13" s="114"/>
      <c r="C13" s="119"/>
      <c r="D13" s="119"/>
      <c r="E13" s="119">
        <f>C12+D12+E12-F12</f>
        <v>256.82999999999993</v>
      </c>
      <c r="F13" s="119"/>
      <c r="G13" s="119"/>
      <c r="H13" s="116"/>
      <c r="I13" s="116"/>
      <c r="J13" s="68"/>
      <c r="K13" s="68"/>
      <c r="L13" s="68"/>
    </row>
    <row r="14" spans="1:26" s="94" customFormat="1" ht="131.25" customHeight="1" x14ac:dyDescent="0.35">
      <c r="A14" s="206"/>
      <c r="B14" s="253" t="s">
        <v>347</v>
      </c>
      <c r="C14" s="82"/>
      <c r="D14" s="83" t="s">
        <v>358</v>
      </c>
      <c r="E14" s="84" t="s">
        <v>102</v>
      </c>
      <c r="F14" s="84"/>
      <c r="G14" s="84" t="s">
        <v>144</v>
      </c>
      <c r="H14" s="116"/>
      <c r="I14" s="116"/>
      <c r="J14" s="68"/>
      <c r="K14" s="68"/>
      <c r="L14" s="68"/>
    </row>
    <row r="15" spans="1:26" s="64" customFormat="1" ht="20.25" x14ac:dyDescent="0.35">
      <c r="A15" s="97"/>
      <c r="B15" s="114" t="s">
        <v>133</v>
      </c>
      <c r="C15" s="117" t="s">
        <v>214</v>
      </c>
      <c r="D15" s="119">
        <f>E13</f>
        <v>256.82999999999993</v>
      </c>
      <c r="E15" s="118">
        <f>D15</f>
        <v>256.82999999999993</v>
      </c>
      <c r="F15" s="118"/>
      <c r="G15" s="118"/>
      <c r="H15" s="70"/>
      <c r="I15" s="70"/>
      <c r="J15" s="69"/>
      <c r="K15" s="69"/>
      <c r="L15" s="69"/>
    </row>
    <row r="16" spans="1:26" s="64" customFormat="1" ht="18" x14ac:dyDescent="0.2">
      <c r="A16" s="97"/>
      <c r="B16" s="81" t="s">
        <v>355</v>
      </c>
      <c r="C16" s="123" t="s">
        <v>135</v>
      </c>
      <c r="D16" s="119">
        <f>(D15/$D26)*1000</f>
        <v>1856.1372571692873</v>
      </c>
      <c r="E16" s="119">
        <f>(E15/$D27)*1000</f>
        <v>6371.3718680228203</v>
      </c>
      <c r="F16" s="119"/>
      <c r="G16" s="104"/>
      <c r="H16" s="112"/>
      <c r="I16" s="112"/>
      <c r="J16" s="66"/>
      <c r="K16" s="66"/>
      <c r="L16" s="66"/>
    </row>
    <row r="17" spans="1:12" s="64" customFormat="1" ht="18" x14ac:dyDescent="0.2">
      <c r="A17" s="97"/>
      <c r="B17" s="81" t="s">
        <v>355</v>
      </c>
      <c r="C17" s="125" t="s">
        <v>357</v>
      </c>
      <c r="D17" s="119">
        <f>D15/H26</f>
        <v>475.13549999999992</v>
      </c>
      <c r="E17" s="119">
        <f>D15/H27</f>
        <v>924.58799999999974</v>
      </c>
      <c r="F17" s="119"/>
      <c r="G17" s="104"/>
      <c r="H17" s="112"/>
      <c r="I17" s="112"/>
      <c r="J17" s="66"/>
      <c r="K17" s="66"/>
      <c r="L17" s="66"/>
    </row>
    <row r="18" spans="1:12" s="64" customFormat="1" ht="18" customHeight="1" x14ac:dyDescent="0.2">
      <c r="A18" s="97"/>
      <c r="B18" s="81" t="s">
        <v>101</v>
      </c>
      <c r="C18" s="123" t="s">
        <v>136</v>
      </c>
      <c r="D18" s="119">
        <f>D16/1000</f>
        <v>1.8561372571692873</v>
      </c>
      <c r="E18" s="119">
        <f>E16/1000</f>
        <v>6.3713718680228206</v>
      </c>
      <c r="F18" s="119"/>
      <c r="G18" s="119"/>
      <c r="H18" s="112"/>
      <c r="I18" s="112"/>
      <c r="J18" s="66"/>
      <c r="K18" s="66"/>
      <c r="L18" s="66"/>
    </row>
    <row r="19" spans="1:12" s="64" customFormat="1" ht="18" customHeight="1" x14ac:dyDescent="0.2">
      <c r="A19" s="97"/>
      <c r="B19" s="81" t="s">
        <v>101</v>
      </c>
      <c r="C19" s="123" t="s">
        <v>137</v>
      </c>
      <c r="D19" s="119">
        <f>D16*1000/1000</f>
        <v>1856.1372571692873</v>
      </c>
      <c r="E19" s="119">
        <f>E16*1000/1000</f>
        <v>6371.3718680228203</v>
      </c>
      <c r="F19" s="119"/>
      <c r="G19" s="119">
        <f>$D$38*E19</f>
        <v>6371.3718680228203</v>
      </c>
      <c r="H19" s="120"/>
      <c r="I19" s="120"/>
      <c r="J19" s="66"/>
      <c r="K19" s="66"/>
      <c r="L19" s="66"/>
    </row>
    <row r="20" spans="1:12" s="64" customFormat="1" ht="18" x14ac:dyDescent="0.2">
      <c r="A20" s="97"/>
      <c r="B20" s="81" t="s">
        <v>101</v>
      </c>
      <c r="C20" s="123" t="s">
        <v>138</v>
      </c>
      <c r="D20" s="119">
        <f>D18/$D37</f>
        <v>0.5155936825470242</v>
      </c>
      <c r="E20" s="119">
        <f>E18/$D37</f>
        <v>1.7698255188952279</v>
      </c>
      <c r="F20" s="119"/>
      <c r="G20" s="119">
        <f>$D$38*E20</f>
        <v>1.7698255188952279</v>
      </c>
      <c r="H20" s="99"/>
      <c r="I20" s="882"/>
      <c r="J20" s="883"/>
      <c r="K20" s="883"/>
      <c r="L20" s="66"/>
    </row>
    <row r="21" spans="1:12" s="64" customFormat="1" ht="18" x14ac:dyDescent="0.2">
      <c r="A21" s="97"/>
      <c r="B21" s="81" t="s">
        <v>101</v>
      </c>
      <c r="C21" s="123" t="s">
        <v>139</v>
      </c>
      <c r="D21" s="119">
        <f>D20*1000</f>
        <v>515.59368254702417</v>
      </c>
      <c r="E21" s="119">
        <f>E20*1000</f>
        <v>1769.8255188952278</v>
      </c>
      <c r="F21" s="119"/>
      <c r="G21" s="119">
        <f>$D$38*E21</f>
        <v>1769.8255188952278</v>
      </c>
      <c r="H21" s="100"/>
      <c r="I21" s="100"/>
      <c r="J21" s="71"/>
      <c r="K21" s="71"/>
      <c r="L21" s="66"/>
    </row>
    <row r="22" spans="1:12" s="64" customFormat="1" x14ac:dyDescent="0.2">
      <c r="A22" s="97"/>
      <c r="B22" s="81"/>
      <c r="C22" s="123"/>
      <c r="D22" s="121"/>
      <c r="E22" s="121"/>
      <c r="F22" s="121"/>
      <c r="G22" s="117"/>
      <c r="H22" s="100"/>
      <c r="I22" s="122"/>
      <c r="J22" s="71"/>
      <c r="K22" s="71"/>
      <c r="L22" s="66"/>
    </row>
    <row r="23" spans="1:12" s="64" customFormat="1" ht="18.75" x14ac:dyDescent="0.35">
      <c r="A23" s="76"/>
      <c r="B23" s="77" t="s">
        <v>140</v>
      </c>
      <c r="C23" s="123"/>
      <c r="D23" s="123"/>
      <c r="E23" s="123"/>
      <c r="F23" s="123"/>
      <c r="G23" s="96"/>
      <c r="H23" s="100"/>
      <c r="I23" s="100"/>
      <c r="J23" s="72"/>
      <c r="K23" s="72"/>
      <c r="L23" s="73"/>
    </row>
    <row r="24" spans="1:12" s="64" customFormat="1" ht="47.25" x14ac:dyDescent="0.25">
      <c r="A24" s="97"/>
      <c r="B24" s="79" t="s">
        <v>103</v>
      </c>
      <c r="C24" s="77" t="s">
        <v>11</v>
      </c>
      <c r="D24" s="77" t="s">
        <v>181</v>
      </c>
      <c r="E24" s="77" t="s">
        <v>11</v>
      </c>
      <c r="F24" s="107" t="s">
        <v>342</v>
      </c>
      <c r="G24" s="77" t="s">
        <v>180</v>
      </c>
      <c r="H24" s="107" t="s">
        <v>352</v>
      </c>
      <c r="I24" s="123"/>
      <c r="J24" s="123"/>
      <c r="K24" s="123"/>
      <c r="L24" s="73"/>
    </row>
    <row r="25" spans="1:12" ht="18.75" x14ac:dyDescent="0.25">
      <c r="A25" s="97"/>
      <c r="B25" s="81" t="s">
        <v>173</v>
      </c>
      <c r="C25" s="117" t="s">
        <v>212</v>
      </c>
      <c r="D25" s="108">
        <v>84.32</v>
      </c>
      <c r="E25" s="117" t="s">
        <v>213</v>
      </c>
      <c r="F25" s="218">
        <v>3</v>
      </c>
      <c r="G25" s="212">
        <f>D25/F25</f>
        <v>28.106666666666666</v>
      </c>
      <c r="H25" s="212">
        <f>G25/D25</f>
        <v>0.33333333333333337</v>
      </c>
      <c r="I25" s="123"/>
      <c r="J25" s="123"/>
      <c r="K25" s="123"/>
      <c r="L25" s="73"/>
    </row>
    <row r="26" spans="1:12" ht="20.25" x14ac:dyDescent="0.35">
      <c r="A26" s="97"/>
      <c r="B26" s="81" t="s">
        <v>176</v>
      </c>
      <c r="C26" s="117" t="s">
        <v>212</v>
      </c>
      <c r="D26" s="109">
        <v>138.36799999999999</v>
      </c>
      <c r="E26" s="117" t="s">
        <v>213</v>
      </c>
      <c r="F26" s="109">
        <v>1.85</v>
      </c>
      <c r="G26" s="212">
        <f>D26/F26</f>
        <v>74.793513513513503</v>
      </c>
      <c r="H26" s="212">
        <f>G26/D26</f>
        <v>0.54054054054054046</v>
      </c>
      <c r="I26" s="123"/>
      <c r="J26" s="123"/>
      <c r="K26" s="123"/>
      <c r="L26" s="73"/>
    </row>
    <row r="27" spans="1:12" ht="18.75" x14ac:dyDescent="0.25">
      <c r="A27" s="97"/>
      <c r="B27" s="81" t="s">
        <v>172</v>
      </c>
      <c r="C27" s="117" t="s">
        <v>212</v>
      </c>
      <c r="D27" s="108">
        <v>40.31</v>
      </c>
      <c r="E27" s="117" t="s">
        <v>213</v>
      </c>
      <c r="F27" s="218">
        <v>3.6</v>
      </c>
      <c r="G27" s="212">
        <f>D27/F27</f>
        <v>11.197222222222223</v>
      </c>
      <c r="H27" s="212">
        <f>G27/D27</f>
        <v>0.27777777777777779</v>
      </c>
      <c r="I27" s="123"/>
      <c r="J27" s="123"/>
      <c r="K27" s="123"/>
      <c r="L27" s="73"/>
    </row>
    <row r="28" spans="1:12" ht="20.25" x14ac:dyDescent="0.35">
      <c r="A28" s="97"/>
      <c r="B28" s="81" t="s">
        <v>174</v>
      </c>
      <c r="C28" s="117" t="s">
        <v>212</v>
      </c>
      <c r="D28" s="108">
        <v>58.31</v>
      </c>
      <c r="E28" s="117" t="s">
        <v>213</v>
      </c>
      <c r="F28" s="218">
        <v>2.39</v>
      </c>
      <c r="G28" s="212">
        <f>D28/F28</f>
        <v>24.397489539748953</v>
      </c>
      <c r="H28" s="212">
        <f>G28/D28</f>
        <v>0.41841004184100417</v>
      </c>
      <c r="I28" s="123"/>
      <c r="J28" s="123"/>
      <c r="K28" s="123"/>
      <c r="L28" s="73"/>
    </row>
    <row r="29" spans="1:12" ht="20.25" x14ac:dyDescent="0.35">
      <c r="A29" s="97"/>
      <c r="B29" s="81" t="s">
        <v>175</v>
      </c>
      <c r="C29" s="117" t="s">
        <v>212</v>
      </c>
      <c r="D29" s="109">
        <v>44.01</v>
      </c>
      <c r="E29" s="117" t="s">
        <v>213</v>
      </c>
      <c r="F29" s="109"/>
      <c r="G29" s="212">
        <v>24789.200000000001</v>
      </c>
      <c r="H29" s="212">
        <f>G29/D29</f>
        <v>563.26289479663717</v>
      </c>
      <c r="I29" s="123"/>
      <c r="J29" s="123"/>
      <c r="K29" s="123"/>
      <c r="L29" s="73"/>
    </row>
    <row r="30" spans="1:12" s="64" customFormat="1" ht="48.75" x14ac:dyDescent="0.35">
      <c r="A30" s="97"/>
      <c r="B30" s="79" t="s">
        <v>112</v>
      </c>
      <c r="C30" s="117"/>
      <c r="D30" s="77" t="s">
        <v>350</v>
      </c>
      <c r="E30" s="85" t="s">
        <v>128</v>
      </c>
      <c r="F30" s="117"/>
      <c r="G30" s="254" t="s">
        <v>351</v>
      </c>
      <c r="H30" s="85" t="s">
        <v>128</v>
      </c>
      <c r="I30" s="123"/>
      <c r="J30" s="123"/>
      <c r="K30" s="123"/>
      <c r="L30" s="123"/>
    </row>
    <row r="31" spans="1:12" s="64" customFormat="1" x14ac:dyDescent="0.2">
      <c r="A31" s="97"/>
      <c r="B31" s="81" t="s">
        <v>354</v>
      </c>
      <c r="C31" s="256" t="s">
        <v>348</v>
      </c>
      <c r="D31" s="124">
        <f>D29/D25</f>
        <v>0.52194022770398485</v>
      </c>
      <c r="E31" s="103">
        <f>$D$38*D31</f>
        <v>0.52194022770398485</v>
      </c>
      <c r="F31" s="256" t="s">
        <v>349</v>
      </c>
      <c r="G31" s="124">
        <f>$D$29/G25</f>
        <v>1.5658206831119545</v>
      </c>
      <c r="H31" s="103">
        <f>$D$38*G31</f>
        <v>1.5658206831119545</v>
      </c>
      <c r="I31" s="123"/>
      <c r="J31" s="123"/>
      <c r="K31" s="123"/>
      <c r="L31" s="123"/>
    </row>
    <row r="32" spans="1:12" s="64" customFormat="1" x14ac:dyDescent="0.2">
      <c r="A32" s="97"/>
      <c r="B32" s="81" t="s">
        <v>353</v>
      </c>
      <c r="C32" s="256" t="s">
        <v>348</v>
      </c>
      <c r="D32" s="124">
        <f>D29/D26</f>
        <v>0.31806487049028676</v>
      </c>
      <c r="E32" s="103">
        <f>$D$38*D32</f>
        <v>0.31806487049028676</v>
      </c>
      <c r="F32" s="256" t="s">
        <v>349</v>
      </c>
      <c r="G32" s="124">
        <f>$D$29/G26</f>
        <v>0.58842001040703062</v>
      </c>
      <c r="H32" s="103">
        <f>$D$38*G32</f>
        <v>0.58842001040703062</v>
      </c>
      <c r="I32" s="123"/>
      <c r="J32" s="123"/>
      <c r="K32" s="123"/>
      <c r="L32" s="123"/>
    </row>
    <row r="33" spans="1:12" s="64" customFormat="1" x14ac:dyDescent="0.2">
      <c r="A33" s="97"/>
      <c r="B33" s="81" t="s">
        <v>113</v>
      </c>
      <c r="C33" s="256" t="s">
        <v>348</v>
      </c>
      <c r="D33" s="124">
        <f>D29/D27</f>
        <v>1.091788638055073</v>
      </c>
      <c r="E33" s="103">
        <f>$D$38*D33</f>
        <v>1.091788638055073</v>
      </c>
      <c r="F33" s="256" t="s">
        <v>349</v>
      </c>
      <c r="G33" s="124">
        <f>$D$29/G27</f>
        <v>3.930439096998263</v>
      </c>
      <c r="H33" s="103">
        <f>$D$38*G33</f>
        <v>3.930439096998263</v>
      </c>
      <c r="I33" s="123"/>
      <c r="J33" s="123"/>
      <c r="K33" s="123"/>
      <c r="L33" s="123"/>
    </row>
    <row r="34" spans="1:12" s="64" customFormat="1" x14ac:dyDescent="0.2">
      <c r="A34" s="97"/>
      <c r="B34" s="81" t="s">
        <v>114</v>
      </c>
      <c r="C34" s="256" t="s">
        <v>348</v>
      </c>
      <c r="D34" s="124">
        <f>D29/D28</f>
        <v>0.75475904647573311</v>
      </c>
      <c r="E34" s="103">
        <f>$D$38*D34</f>
        <v>0.75475904647573311</v>
      </c>
      <c r="F34" s="256" t="s">
        <v>349</v>
      </c>
      <c r="G34" s="124">
        <f>$D$29/G28</f>
        <v>1.8038741210770022</v>
      </c>
      <c r="H34" s="103">
        <f>$D$38*G34</f>
        <v>1.8038741210770022</v>
      </c>
      <c r="I34" s="123"/>
      <c r="J34" s="123"/>
      <c r="K34" s="123"/>
      <c r="L34" s="123"/>
    </row>
    <row r="35" spans="1:12" s="64" customFormat="1" x14ac:dyDescent="0.2">
      <c r="A35" s="97"/>
      <c r="B35" s="81"/>
      <c r="C35" s="125"/>
      <c r="D35" s="121"/>
      <c r="E35" s="117"/>
      <c r="F35" s="117"/>
      <c r="G35" s="74"/>
      <c r="H35" s="123"/>
      <c r="I35" s="123"/>
      <c r="J35" s="123"/>
      <c r="K35" s="123"/>
      <c r="L35" s="123"/>
    </row>
    <row r="36" spans="1:12" s="64" customFormat="1" ht="12.75" customHeight="1" x14ac:dyDescent="0.25">
      <c r="A36" s="97"/>
      <c r="B36" s="79" t="s">
        <v>104</v>
      </c>
      <c r="C36" s="123"/>
      <c r="D36" s="123"/>
      <c r="E36" s="123"/>
      <c r="F36" s="123"/>
      <c r="G36" s="96"/>
      <c r="H36" s="123"/>
      <c r="I36" s="123"/>
      <c r="J36" s="123"/>
      <c r="K36" s="123"/>
      <c r="L36" s="123"/>
    </row>
    <row r="37" spans="1:12" s="64" customFormat="1" ht="18" x14ac:dyDescent="0.2">
      <c r="A37" s="97"/>
      <c r="B37" s="97" t="s">
        <v>105</v>
      </c>
      <c r="C37" s="65"/>
      <c r="D37" s="123">
        <v>3.6</v>
      </c>
      <c r="E37" s="126" t="s">
        <v>143</v>
      </c>
      <c r="F37" s="126"/>
      <c r="G37" s="74"/>
      <c r="H37" s="123"/>
      <c r="I37" s="123"/>
      <c r="J37" s="123"/>
      <c r="K37" s="123"/>
      <c r="L37" s="123"/>
    </row>
    <row r="38" spans="1:12" s="64" customFormat="1" x14ac:dyDescent="0.2">
      <c r="A38" s="97"/>
      <c r="B38" s="81" t="s">
        <v>305</v>
      </c>
      <c r="C38" s="65"/>
      <c r="D38" s="234">
        <v>1</v>
      </c>
      <c r="E38" s="123"/>
      <c r="F38" s="123"/>
      <c r="G38" s="96"/>
      <c r="H38" s="123"/>
      <c r="I38" s="123"/>
      <c r="J38" s="123"/>
      <c r="K38" s="123"/>
      <c r="L38" s="123"/>
    </row>
    <row r="39" spans="1:12" s="156" customFormat="1" ht="50.25" x14ac:dyDescent="0.25">
      <c r="A39" s="86" t="s">
        <v>152</v>
      </c>
      <c r="B39" s="155"/>
      <c r="C39" s="144" t="s">
        <v>107</v>
      </c>
      <c r="D39" s="87"/>
      <c r="E39" s="87"/>
      <c r="F39" s="87"/>
      <c r="G39" s="155"/>
      <c r="H39" s="87"/>
      <c r="I39" s="87"/>
      <c r="J39" s="155"/>
      <c r="K39" s="107" t="s">
        <v>189</v>
      </c>
      <c r="L39" s="107" t="s">
        <v>188</v>
      </c>
    </row>
    <row r="40" spans="1:12" s="157" customFormat="1" ht="18" customHeight="1" x14ac:dyDescent="0.25">
      <c r="A40" s="86"/>
      <c r="B40" s="57" t="s">
        <v>319</v>
      </c>
      <c r="C40" s="57" t="s">
        <v>316</v>
      </c>
      <c r="D40" s="49"/>
      <c r="E40" s="49"/>
      <c r="F40" s="239">
        <v>425</v>
      </c>
      <c r="G40" s="237" t="s">
        <v>318</v>
      </c>
      <c r="H40" s="241">
        <f>F40+273.15</f>
        <v>698.15</v>
      </c>
      <c r="I40" s="237" t="s">
        <v>320</v>
      </c>
      <c r="J40" s="145"/>
      <c r="K40" s="236">
        <v>683</v>
      </c>
      <c r="L40" s="40"/>
    </row>
    <row r="41" spans="1:12" s="157" customFormat="1" ht="15.75" x14ac:dyDescent="0.25">
      <c r="A41" s="86"/>
      <c r="B41" s="145" t="s">
        <v>170</v>
      </c>
      <c r="C41" s="145"/>
      <c r="D41" s="49"/>
      <c r="E41" s="49"/>
      <c r="F41" s="49"/>
      <c r="G41" s="145"/>
      <c r="H41" s="49"/>
      <c r="I41" s="49"/>
      <c r="J41" s="145"/>
      <c r="K41" s="96">
        <f>E16</f>
        <v>6371.3718680228203</v>
      </c>
      <c r="L41" s="219">
        <f t="shared" ref="L41:L46" si="0">$D$38*K41</f>
        <v>6371.3718680228203</v>
      </c>
    </row>
    <row r="42" spans="1:12" s="157" customFormat="1" ht="15.75" x14ac:dyDescent="0.25">
      <c r="A42" s="86"/>
      <c r="B42" s="57" t="s">
        <v>315</v>
      </c>
      <c r="C42" s="145" t="s">
        <v>109</v>
      </c>
      <c r="D42" s="49"/>
      <c r="E42" s="49"/>
      <c r="F42" s="49"/>
      <c r="G42" s="145"/>
      <c r="H42" s="49"/>
      <c r="I42" s="49"/>
      <c r="J42" s="145"/>
      <c r="K42" s="220">
        <v>13</v>
      </c>
      <c r="L42" s="219">
        <f t="shared" si="0"/>
        <v>13</v>
      </c>
    </row>
    <row r="43" spans="1:12" s="157" customFormat="1" ht="15.75" x14ac:dyDescent="0.25">
      <c r="A43" s="86"/>
      <c r="B43" s="57" t="s">
        <v>89</v>
      </c>
      <c r="C43" s="145" t="s">
        <v>110</v>
      </c>
      <c r="D43" s="49"/>
      <c r="E43" s="49"/>
      <c r="F43" s="49"/>
      <c r="G43" s="145"/>
      <c r="H43" s="49"/>
      <c r="I43" s="49"/>
      <c r="J43" s="145"/>
      <c r="K43" s="220">
        <f>'P C Data'!K53*$K$40/'P C Data'!$K$36</f>
        <v>246.95821242019733</v>
      </c>
      <c r="L43" s="219">
        <f t="shared" si="0"/>
        <v>246.95821242019733</v>
      </c>
    </row>
    <row r="44" spans="1:12" s="157" customFormat="1" ht="15.75" x14ac:dyDescent="0.25">
      <c r="A44" s="86"/>
      <c r="B44" s="57" t="s">
        <v>92</v>
      </c>
      <c r="C44" s="145" t="s">
        <v>110</v>
      </c>
      <c r="D44" s="49"/>
      <c r="E44" s="49"/>
      <c r="F44" s="49"/>
      <c r="G44" s="145"/>
      <c r="H44" s="49"/>
      <c r="I44" s="49"/>
      <c r="J44" s="145"/>
      <c r="K44" s="220">
        <f>'P C Data'!K54*K40/'P C Data'!K36</f>
        <v>34.883343006384216</v>
      </c>
      <c r="L44" s="219">
        <f t="shared" si="0"/>
        <v>34.883343006384216</v>
      </c>
    </row>
    <row r="45" spans="1:12" s="157" customFormat="1" x14ac:dyDescent="0.2">
      <c r="A45" s="155"/>
      <c r="B45" s="57" t="s">
        <v>90</v>
      </c>
      <c r="C45" s="145" t="s">
        <v>110</v>
      </c>
      <c r="D45" s="145"/>
      <c r="E45" s="145"/>
      <c r="F45" s="145"/>
      <c r="G45" s="145"/>
      <c r="H45" s="145"/>
      <c r="I45" s="145"/>
      <c r="J45" s="145"/>
      <c r="K45" s="220">
        <f>'P C Data'!K55*K40/'P C Data'!K36</f>
        <v>169.26349390597795</v>
      </c>
      <c r="L45" s="219">
        <f t="shared" si="0"/>
        <v>169.26349390597795</v>
      </c>
    </row>
    <row r="46" spans="1:12" s="157" customFormat="1" x14ac:dyDescent="0.2">
      <c r="A46" s="155"/>
      <c r="B46" s="57" t="s">
        <v>91</v>
      </c>
      <c r="C46" s="145" t="s">
        <v>111</v>
      </c>
      <c r="D46" s="145"/>
      <c r="E46" s="145"/>
      <c r="F46" s="145"/>
      <c r="G46" s="145"/>
      <c r="H46" s="145"/>
      <c r="I46" s="145"/>
      <c r="J46" s="145"/>
      <c r="K46" s="220">
        <f>'P C Data'!K56*(K40/'P C Data'!K36)^2</f>
        <v>54.682718429334578</v>
      </c>
      <c r="L46" s="219">
        <f t="shared" si="0"/>
        <v>54.682718429334578</v>
      </c>
    </row>
    <row r="47" spans="1:12" s="157" customFormat="1" ht="15.75" x14ac:dyDescent="0.25">
      <c r="A47" s="155"/>
      <c r="B47" s="54" t="s">
        <v>167</v>
      </c>
      <c r="C47" s="145"/>
      <c r="D47" s="145"/>
      <c r="E47" s="145"/>
      <c r="F47" s="145"/>
      <c r="G47" s="145"/>
      <c r="H47" s="145"/>
      <c r="I47" s="145"/>
      <c r="J47" s="145"/>
      <c r="K47" s="219">
        <f>SUM(K42:K46)</f>
        <v>518.78776776189409</v>
      </c>
      <c r="L47" s="219">
        <f>SUM(L42:L46)</f>
        <v>518.78776776189409</v>
      </c>
    </row>
    <row r="48" spans="1:12" s="64" customFormat="1" ht="15.75" x14ac:dyDescent="0.25">
      <c r="A48" s="76"/>
      <c r="B48" s="77" t="s">
        <v>8</v>
      </c>
      <c r="C48" s="76"/>
      <c r="D48" s="76"/>
      <c r="E48" s="76"/>
      <c r="F48" s="76"/>
      <c r="G48" s="106"/>
      <c r="H48" s="97"/>
      <c r="I48" s="97"/>
      <c r="J48" s="97"/>
      <c r="K48" s="221">
        <f>K41+K47</f>
        <v>6890.1596357847147</v>
      </c>
      <c r="L48" s="221">
        <f>L41+L47</f>
        <v>6890.1596357847147</v>
      </c>
    </row>
    <row r="49" spans="1:12" s="64" customFormat="1" ht="15.75" x14ac:dyDescent="0.25">
      <c r="A49" s="76"/>
      <c r="B49" s="79" t="s">
        <v>168</v>
      </c>
      <c r="C49" s="76"/>
      <c r="D49" s="76"/>
      <c r="E49" s="76"/>
      <c r="F49" s="76"/>
      <c r="G49" s="110"/>
      <c r="H49" s="97"/>
      <c r="I49" s="97"/>
      <c r="J49" s="97"/>
      <c r="K49" s="222"/>
      <c r="L49" s="150">
        <f>L47/K41</f>
        <v>8.1424813761951334E-2</v>
      </c>
    </row>
    <row r="50" spans="1:12" s="64" customFormat="1" x14ac:dyDescent="0.2">
      <c r="A50" s="76"/>
      <c r="B50" s="97" t="s">
        <v>438</v>
      </c>
      <c r="C50" s="76"/>
      <c r="D50" s="76"/>
      <c r="E50" s="76"/>
      <c r="F50" s="76"/>
      <c r="G50" s="110"/>
      <c r="H50" s="97"/>
      <c r="I50" s="97"/>
      <c r="J50" s="97"/>
      <c r="K50" s="222"/>
      <c r="L50" s="325">
        <v>100</v>
      </c>
    </row>
    <row r="51" spans="1:12" s="64" customFormat="1" x14ac:dyDescent="0.2">
      <c r="A51" s="76"/>
      <c r="B51" s="76" t="s">
        <v>439</v>
      </c>
      <c r="C51" s="76"/>
      <c r="D51" s="76"/>
      <c r="E51" s="76"/>
      <c r="F51" s="76"/>
      <c r="G51" s="110"/>
      <c r="H51" s="97"/>
      <c r="I51" s="97"/>
      <c r="J51" s="97"/>
      <c r="K51" s="222"/>
      <c r="L51" s="326">
        <v>0</v>
      </c>
    </row>
    <row r="52" spans="1:12" s="64" customFormat="1" x14ac:dyDescent="0.2">
      <c r="G52" s="158"/>
      <c r="H52" s="98"/>
      <c r="I52" s="98"/>
      <c r="J52" s="98"/>
    </row>
    <row r="53" spans="1:12" s="64" customFormat="1" x14ac:dyDescent="0.2">
      <c r="G53" s="158"/>
      <c r="H53" s="98"/>
      <c r="I53" s="98"/>
      <c r="J53" s="98"/>
      <c r="K53" s="98"/>
      <c r="L53" s="98"/>
    </row>
    <row r="54" spans="1:12" s="64" customFormat="1" x14ac:dyDescent="0.2">
      <c r="B54" s="127" t="s">
        <v>2</v>
      </c>
      <c r="C54" s="128"/>
      <c r="D54" s="129"/>
      <c r="E54" s="130"/>
      <c r="G54" s="158"/>
      <c r="H54" s="98"/>
      <c r="I54" s="98"/>
      <c r="J54" s="98"/>
      <c r="K54" s="98"/>
      <c r="L54" s="98"/>
    </row>
    <row r="55" spans="1:12" s="64" customFormat="1" x14ac:dyDescent="0.2">
      <c r="B55" s="101" t="s">
        <v>3</v>
      </c>
      <c r="C55" s="878" t="s">
        <v>4</v>
      </c>
      <c r="D55" s="879"/>
      <c r="E55" s="879"/>
      <c r="G55" s="158"/>
      <c r="H55" s="98"/>
      <c r="I55" s="98"/>
      <c r="J55" s="98"/>
      <c r="K55" s="98"/>
      <c r="L55" s="98"/>
    </row>
    <row r="56" spans="1:12" s="64" customFormat="1" x14ac:dyDescent="0.2">
      <c r="B56" s="131"/>
      <c r="C56" s="880" t="s">
        <v>5</v>
      </c>
      <c r="D56" s="879"/>
      <c r="E56" s="879"/>
      <c r="G56" s="158"/>
      <c r="H56" s="98"/>
      <c r="I56" s="98"/>
      <c r="J56" s="98"/>
      <c r="K56" s="98"/>
      <c r="L56" s="98"/>
    </row>
    <row r="57" spans="1:12" s="64" customFormat="1" x14ac:dyDescent="0.2">
      <c r="A57" s="98"/>
      <c r="B57" s="132"/>
      <c r="C57" s="133" t="s">
        <v>6</v>
      </c>
      <c r="D57" s="151"/>
      <c r="E57" s="152"/>
      <c r="G57" s="158"/>
      <c r="H57" s="98"/>
      <c r="I57" s="98"/>
      <c r="J57" s="98"/>
      <c r="K57" s="98"/>
      <c r="L57" s="98"/>
    </row>
    <row r="58" spans="1:12" s="64" customFormat="1" x14ac:dyDescent="0.2">
      <c r="A58" s="98"/>
      <c r="B58" s="136"/>
      <c r="C58" s="102" t="s">
        <v>7</v>
      </c>
      <c r="D58" s="153"/>
      <c r="E58" s="154"/>
      <c r="G58" s="158"/>
      <c r="H58" s="98"/>
      <c r="I58" s="98"/>
      <c r="J58" s="98"/>
      <c r="K58" s="98"/>
      <c r="L58" s="98"/>
    </row>
    <row r="59" spans="1:12" s="64" customFormat="1" x14ac:dyDescent="0.2">
      <c r="A59" s="98"/>
      <c r="B59" s="139"/>
      <c r="C59" s="140" t="s">
        <v>68</v>
      </c>
      <c r="D59" s="151"/>
      <c r="E59" s="152"/>
      <c r="F59" s="98"/>
      <c r="G59" s="158"/>
      <c r="H59" s="98"/>
      <c r="I59" s="98"/>
      <c r="J59" s="98"/>
      <c r="K59" s="98"/>
      <c r="L59" s="98"/>
    </row>
    <row r="60" spans="1:12" s="64" customFormat="1" x14ac:dyDescent="0.2">
      <c r="A60" s="98"/>
      <c r="B60" s="143"/>
      <c r="C60" s="140" t="s">
        <v>16</v>
      </c>
      <c r="D60" s="151"/>
      <c r="E60" s="152"/>
      <c r="F60" s="98"/>
      <c r="G60" s="158"/>
      <c r="H60" s="98"/>
      <c r="I60" s="98"/>
      <c r="J60" s="98"/>
      <c r="K60" s="98"/>
      <c r="L60" s="98"/>
    </row>
    <row r="61" spans="1:12" s="64" customFormat="1" x14ac:dyDescent="0.2">
      <c r="A61" s="98"/>
      <c r="B61" s="98"/>
      <c r="C61" s="98"/>
      <c r="D61" s="98"/>
      <c r="E61" s="98"/>
      <c r="F61" s="98"/>
      <c r="G61" s="158"/>
      <c r="H61" s="98"/>
      <c r="I61" s="98"/>
      <c r="J61" s="98"/>
      <c r="K61" s="98"/>
      <c r="L61" s="98"/>
    </row>
    <row r="62" spans="1:12" s="64" customFormat="1" x14ac:dyDescent="0.2">
      <c r="A62" s="98"/>
      <c r="B62" s="98"/>
      <c r="C62" s="98"/>
      <c r="D62" s="98"/>
      <c r="E62" s="98"/>
      <c r="F62" s="98"/>
      <c r="G62" s="158"/>
      <c r="H62" s="98"/>
      <c r="I62" s="98"/>
      <c r="J62" s="98"/>
      <c r="K62" s="98"/>
      <c r="L62" s="98"/>
    </row>
    <row r="63" spans="1:12" s="64" customFormat="1" x14ac:dyDescent="0.2">
      <c r="A63" s="98"/>
      <c r="B63" s="98"/>
      <c r="C63" s="98"/>
      <c r="D63" s="98"/>
      <c r="E63" s="98"/>
      <c r="F63" s="98"/>
      <c r="G63" s="158"/>
      <c r="H63" s="98"/>
      <c r="I63" s="98"/>
      <c r="J63" s="98"/>
      <c r="K63" s="98"/>
      <c r="L63" s="98"/>
    </row>
    <row r="64" spans="1:12" s="64" customFormat="1" x14ac:dyDescent="0.2">
      <c r="A64" s="98"/>
      <c r="B64" s="98"/>
      <c r="C64" s="98"/>
      <c r="D64" s="98"/>
      <c r="E64" s="98"/>
      <c r="F64" s="98"/>
      <c r="G64" s="158"/>
      <c r="H64" s="98"/>
      <c r="I64" s="98"/>
      <c r="J64" s="98"/>
      <c r="K64" s="98"/>
      <c r="L64" s="98"/>
    </row>
    <row r="65" spans="1:12" s="64" customFormat="1" x14ac:dyDescent="0.2">
      <c r="A65" s="98"/>
      <c r="B65" s="98"/>
      <c r="C65" s="98"/>
      <c r="D65" s="98"/>
      <c r="E65" s="98"/>
      <c r="F65" s="98"/>
      <c r="G65" s="158"/>
      <c r="H65" s="98"/>
      <c r="I65" s="98"/>
      <c r="J65" s="98"/>
      <c r="K65" s="98"/>
      <c r="L65" s="98"/>
    </row>
    <row r="66" spans="1:12" s="64" customFormat="1" x14ac:dyDescent="0.2">
      <c r="A66" s="98"/>
      <c r="B66" s="98"/>
      <c r="C66" s="98"/>
      <c r="D66" s="98"/>
      <c r="E66" s="98"/>
      <c r="F66" s="98"/>
      <c r="G66" s="158"/>
      <c r="H66" s="98"/>
      <c r="I66" s="98"/>
      <c r="J66" s="98"/>
      <c r="K66" s="98"/>
      <c r="L66" s="98"/>
    </row>
  </sheetData>
  <mergeCells count="4">
    <mergeCell ref="D7:G7"/>
    <mergeCell ref="I20:K20"/>
    <mergeCell ref="C55:E55"/>
    <mergeCell ref="C56:E56"/>
  </mergeCells>
  <phoneticPr fontId="1" type="noConversion"/>
  <pageMargins left="0.75" right="0.75" top="1" bottom="1" header="0.5" footer="0.5"/>
  <pageSetup paperSize="9" scale="82" fitToHeight="3" orientation="landscape"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66"/>
  <sheetViews>
    <sheetView topLeftCell="A32" workbookViewId="0">
      <selection activeCell="H27" sqref="H27"/>
    </sheetView>
  </sheetViews>
  <sheetFormatPr defaultColWidth="7.109375" defaultRowHeight="15" x14ac:dyDescent="0.2"/>
  <cols>
    <col min="1" max="1" width="2.77734375" style="98" customWidth="1"/>
    <col min="2" max="2" width="38.6640625" style="98" customWidth="1"/>
    <col min="3" max="7" width="15" style="98" customWidth="1"/>
    <col min="8" max="8" width="15" style="158" customWidth="1"/>
    <col min="9" max="10" width="13.21875" style="98" customWidth="1"/>
    <col min="11" max="11" width="13" style="98" customWidth="1"/>
    <col min="12" max="12" width="12.44140625" style="98" customWidth="1"/>
    <col min="13" max="16384" width="7.109375" style="98"/>
  </cols>
  <sheetData>
    <row r="1" spans="1:16" s="4" customFormat="1" x14ac:dyDescent="0.2">
      <c r="L1" s="300"/>
      <c r="M1" s="300"/>
    </row>
    <row r="2" spans="1:16" s="38" customFormat="1" x14ac:dyDescent="0.2">
      <c r="A2" s="4"/>
      <c r="B2" s="4"/>
      <c r="C2" s="4"/>
      <c r="D2" s="4"/>
      <c r="E2" s="4"/>
      <c r="F2" s="4"/>
      <c r="G2" s="4"/>
      <c r="H2" s="4"/>
      <c r="L2" s="300"/>
      <c r="M2" s="300"/>
      <c r="O2" s="4"/>
      <c r="P2" s="4"/>
    </row>
    <row r="3" spans="1:16" s="38" customFormat="1" ht="15" customHeight="1" x14ac:dyDescent="0.2">
      <c r="A3" s="4"/>
      <c r="B3" s="4"/>
      <c r="C3" s="4"/>
      <c r="D3" s="4"/>
      <c r="E3" s="4"/>
      <c r="F3" s="4"/>
      <c r="G3" s="4"/>
      <c r="H3" s="4"/>
      <c r="I3" s="4"/>
      <c r="J3" s="4"/>
      <c r="K3" s="4"/>
      <c r="L3" s="300"/>
      <c r="M3" s="300"/>
      <c r="N3" s="4"/>
      <c r="O3" s="4"/>
      <c r="P3" s="4"/>
    </row>
    <row r="4" spans="1:16" s="38" customFormat="1" ht="14.25" customHeight="1" x14ac:dyDescent="0.2">
      <c r="A4" s="4"/>
      <c r="B4" s="4"/>
      <c r="C4" s="4"/>
      <c r="D4" s="4"/>
      <c r="E4" s="4"/>
      <c r="F4" s="4"/>
      <c r="G4" s="4"/>
      <c r="H4" s="4"/>
      <c r="I4" s="4"/>
      <c r="J4" s="4"/>
      <c r="K4" s="4"/>
      <c r="L4" s="300"/>
      <c r="M4" s="300"/>
      <c r="N4" s="4"/>
      <c r="O4" s="4"/>
      <c r="P4" s="4"/>
    </row>
    <row r="5" spans="1:16" s="64" customFormat="1" ht="15.75" x14ac:dyDescent="0.25">
      <c r="A5" s="76"/>
      <c r="B5" s="77" t="s">
        <v>169</v>
      </c>
      <c r="C5" s="97"/>
      <c r="D5" s="110"/>
      <c r="E5" s="76"/>
      <c r="F5" s="76"/>
      <c r="G5" s="76"/>
      <c r="H5" s="76"/>
      <c r="I5" s="79" t="s">
        <v>171</v>
      </c>
      <c r="J5" s="97"/>
      <c r="K5" s="97"/>
      <c r="L5" s="97"/>
    </row>
    <row r="6" spans="1:16" s="64" customFormat="1" ht="15.75" x14ac:dyDescent="0.25">
      <c r="A6" s="76"/>
      <c r="B6" s="77"/>
      <c r="C6" s="97"/>
      <c r="D6" s="110"/>
      <c r="E6" s="76"/>
      <c r="F6" s="76"/>
      <c r="G6" s="76"/>
      <c r="H6" s="76"/>
      <c r="I6" s="76"/>
      <c r="J6" s="76"/>
      <c r="K6" s="76"/>
      <c r="L6" s="76"/>
    </row>
    <row r="7" spans="1:16" s="64" customFormat="1" ht="78.75" customHeight="1" x14ac:dyDescent="0.25">
      <c r="A7" s="79"/>
      <c r="B7" s="80"/>
      <c r="C7" s="77" t="s">
        <v>11</v>
      </c>
      <c r="D7" s="881" t="s">
        <v>129</v>
      </c>
      <c r="E7" s="881"/>
      <c r="F7" s="881"/>
      <c r="G7" s="881"/>
      <c r="H7" s="881"/>
      <c r="I7" s="25" t="s">
        <v>117</v>
      </c>
      <c r="J7" s="25" t="s">
        <v>119</v>
      </c>
      <c r="K7" s="25" t="s">
        <v>121</v>
      </c>
      <c r="L7" s="25" t="s">
        <v>126</v>
      </c>
    </row>
    <row r="8" spans="1:16" s="64" customFormat="1" ht="18" customHeight="1" x14ac:dyDescent="0.35">
      <c r="A8" s="79" t="s">
        <v>330</v>
      </c>
      <c r="B8" s="79"/>
      <c r="C8" s="77"/>
      <c r="D8" s="77"/>
      <c r="E8" s="77"/>
      <c r="F8" s="77"/>
      <c r="G8" s="77"/>
      <c r="H8" s="77"/>
      <c r="I8" s="76"/>
      <c r="J8" s="78" t="s">
        <v>120</v>
      </c>
      <c r="K8" s="78" t="s">
        <v>122</v>
      </c>
      <c r="L8" s="25" t="s">
        <v>127</v>
      </c>
    </row>
    <row r="9" spans="1:16" s="64" customFormat="1" ht="18" customHeight="1" x14ac:dyDescent="0.35">
      <c r="A9" s="81"/>
      <c r="B9" s="81"/>
      <c r="C9" s="65"/>
      <c r="D9" s="111" t="s">
        <v>154</v>
      </c>
      <c r="E9" s="111" t="s">
        <v>161</v>
      </c>
      <c r="F9" s="111" t="s">
        <v>130</v>
      </c>
      <c r="G9" s="111"/>
      <c r="H9" s="111"/>
      <c r="I9" s="57" t="s">
        <v>157</v>
      </c>
      <c r="J9" s="213">
        <v>-1128.8420000000001</v>
      </c>
      <c r="K9" s="213">
        <v>-1207.3699999999999</v>
      </c>
      <c r="L9" s="213">
        <v>195.62</v>
      </c>
    </row>
    <row r="10" spans="1:16" s="94" customFormat="1" ht="18" customHeight="1" x14ac:dyDescent="0.35">
      <c r="A10" s="114"/>
      <c r="B10" s="114"/>
      <c r="C10" s="224" t="s">
        <v>329</v>
      </c>
      <c r="D10" s="245" t="s">
        <v>337</v>
      </c>
      <c r="E10" s="246" t="s">
        <v>328</v>
      </c>
      <c r="F10" s="67"/>
      <c r="G10" s="67"/>
      <c r="H10" s="67"/>
      <c r="I10" s="57" t="s">
        <v>158</v>
      </c>
      <c r="J10" s="213">
        <v>-603.48699999999997</v>
      </c>
      <c r="K10" s="213">
        <v>-635.08900000000006</v>
      </c>
      <c r="L10" s="213">
        <v>38.21</v>
      </c>
    </row>
    <row r="11" spans="1:16" s="64" customFormat="1" ht="18" customHeight="1" x14ac:dyDescent="0.35">
      <c r="A11" s="113"/>
      <c r="B11" s="113"/>
      <c r="C11" s="224" t="s">
        <v>329</v>
      </c>
      <c r="D11" s="223" t="s">
        <v>155</v>
      </c>
      <c r="E11" s="67" t="s">
        <v>132</v>
      </c>
      <c r="F11" s="67" t="s">
        <v>156</v>
      </c>
      <c r="G11" s="67"/>
      <c r="H11" s="67"/>
      <c r="I11" s="57" t="s">
        <v>150</v>
      </c>
      <c r="J11" s="213">
        <v>-394.375</v>
      </c>
      <c r="K11" s="213">
        <v>-393.51</v>
      </c>
      <c r="L11" s="213">
        <v>213.79</v>
      </c>
    </row>
    <row r="12" spans="1:16" s="93" customFormat="1" ht="18" customHeight="1" x14ac:dyDescent="0.2">
      <c r="A12" s="92"/>
      <c r="B12" s="92"/>
      <c r="C12" s="115" t="s">
        <v>327</v>
      </c>
      <c r="D12" s="119">
        <f>K10</f>
        <v>-635.08900000000006</v>
      </c>
      <c r="E12" s="119">
        <f>K11</f>
        <v>-393.51</v>
      </c>
      <c r="F12" s="119">
        <f>K9</f>
        <v>-1207.3699999999999</v>
      </c>
      <c r="G12" s="119"/>
      <c r="H12" s="119"/>
      <c r="I12" s="225" t="s">
        <v>219</v>
      </c>
      <c r="J12" s="68" t="s">
        <v>222</v>
      </c>
      <c r="K12" s="68" t="s">
        <v>221</v>
      </c>
      <c r="L12" s="68" t="s">
        <v>223</v>
      </c>
    </row>
    <row r="13" spans="1:16" s="94" customFormat="1" ht="18" customHeight="1" x14ac:dyDescent="0.35">
      <c r="A13" s="247" t="s">
        <v>131</v>
      </c>
      <c r="B13" s="113"/>
      <c r="C13" s="115" t="s">
        <v>327</v>
      </c>
      <c r="D13" s="119"/>
      <c r="E13" s="119">
        <f>D12+E12-F12</f>
        <v>178.77099999999973</v>
      </c>
      <c r="F13" s="119"/>
      <c r="G13" s="119"/>
      <c r="H13" s="119"/>
      <c r="I13" s="70"/>
      <c r="J13" s="70"/>
      <c r="K13" s="70"/>
      <c r="L13" s="70"/>
    </row>
    <row r="14" spans="1:16" s="94" customFormat="1" ht="129.75" customHeight="1" x14ac:dyDescent="0.35">
      <c r="A14" s="206"/>
      <c r="B14" s="95"/>
      <c r="C14" s="82"/>
      <c r="D14" s="83" t="s">
        <v>208</v>
      </c>
      <c r="E14" s="83" t="s">
        <v>209</v>
      </c>
      <c r="F14" s="84"/>
      <c r="G14" s="84"/>
      <c r="H14" s="84" t="s">
        <v>210</v>
      </c>
      <c r="I14" s="70" t="s">
        <v>321</v>
      </c>
      <c r="J14" s="70"/>
      <c r="K14" s="70"/>
      <c r="L14" s="70"/>
    </row>
    <row r="15" spans="1:16" s="64" customFormat="1" ht="20.25" x14ac:dyDescent="0.35">
      <c r="A15" s="97"/>
      <c r="B15" s="114" t="s">
        <v>133</v>
      </c>
      <c r="C15" s="117" t="s">
        <v>134</v>
      </c>
      <c r="D15" s="118">
        <f>E13</f>
        <v>178.77099999999973</v>
      </c>
      <c r="E15" s="118">
        <f>D15</f>
        <v>178.77099999999973</v>
      </c>
      <c r="F15" s="118"/>
      <c r="G15" s="118"/>
      <c r="H15" s="118"/>
      <c r="I15" s="70"/>
      <c r="J15" s="69"/>
      <c r="K15" s="69"/>
      <c r="L15" s="69"/>
    </row>
    <row r="16" spans="1:16" s="64" customFormat="1" ht="16.5" customHeight="1" x14ac:dyDescent="0.2">
      <c r="A16" s="97"/>
      <c r="B16" s="81" t="s">
        <v>356</v>
      </c>
      <c r="C16" s="123" t="s">
        <v>135</v>
      </c>
      <c r="D16" s="119">
        <f>(D15/$D25)*1000</f>
        <v>1786.1025077430286</v>
      </c>
      <c r="E16" s="119">
        <f>(E15/$D27)*1000</f>
        <v>3187.7853067047026</v>
      </c>
      <c r="F16" s="119"/>
      <c r="G16" s="119"/>
      <c r="H16" s="104"/>
      <c r="I16" s="112"/>
      <c r="J16" s="66"/>
      <c r="K16" s="66"/>
      <c r="L16" s="66"/>
    </row>
    <row r="17" spans="1:12" s="64" customFormat="1" ht="18" x14ac:dyDescent="0.2">
      <c r="A17" s="97"/>
      <c r="B17" s="81" t="s">
        <v>356</v>
      </c>
      <c r="C17" s="125" t="s">
        <v>357</v>
      </c>
      <c r="D17" s="119">
        <f>D15/H25</f>
        <v>484.4694099999993</v>
      </c>
      <c r="E17" s="119">
        <f>D15/H27</f>
        <v>597.09513999999911</v>
      </c>
      <c r="F17" s="119"/>
      <c r="G17" s="104"/>
      <c r="H17" s="112"/>
      <c r="I17" s="112"/>
      <c r="J17" s="66"/>
      <c r="K17" s="66"/>
    </row>
    <row r="18" spans="1:12" s="64" customFormat="1" ht="16.5" customHeight="1" x14ac:dyDescent="0.2">
      <c r="A18" s="97"/>
      <c r="B18" s="81" t="s">
        <v>101</v>
      </c>
      <c r="C18" s="123" t="s">
        <v>136</v>
      </c>
      <c r="D18" s="119">
        <f>D16/1000</f>
        <v>1.7861025077430286</v>
      </c>
      <c r="E18" s="119">
        <f>E16/1000</f>
        <v>3.1877853067047028</v>
      </c>
      <c r="F18" s="119"/>
      <c r="G18" s="119"/>
      <c r="H18" s="119"/>
      <c r="I18" s="112"/>
      <c r="J18" s="66"/>
      <c r="K18" s="66"/>
      <c r="L18" s="66"/>
    </row>
    <row r="19" spans="1:12" s="64" customFormat="1" ht="16.5" customHeight="1" x14ac:dyDescent="0.2">
      <c r="A19" s="97"/>
      <c r="B19" s="81" t="s">
        <v>101</v>
      </c>
      <c r="C19" s="123" t="s">
        <v>137</v>
      </c>
      <c r="D19" s="119">
        <f>D16*1000/1000</f>
        <v>1786.1025077430286</v>
      </c>
      <c r="E19" s="119">
        <f>E16*1000/1000</f>
        <v>3187.7853067047026</v>
      </c>
      <c r="F19" s="119"/>
      <c r="G19" s="119"/>
      <c r="H19" s="119">
        <f>$D$38*E19</f>
        <v>3187.7853067047026</v>
      </c>
      <c r="I19" s="120"/>
      <c r="J19" s="66"/>
      <c r="K19" s="66"/>
      <c r="L19" s="66"/>
    </row>
    <row r="20" spans="1:12" s="64" customFormat="1" ht="16.5" customHeight="1" x14ac:dyDescent="0.2">
      <c r="A20" s="97">
        <v>1</v>
      </c>
      <c r="B20" s="81" t="s">
        <v>101</v>
      </c>
      <c r="C20" s="123" t="s">
        <v>138</v>
      </c>
      <c r="D20" s="119">
        <f>D18/$D37</f>
        <v>0.49613958548417458</v>
      </c>
      <c r="E20" s="119">
        <f>E18/$D37</f>
        <v>0.88549591852908405</v>
      </c>
      <c r="F20" s="119"/>
      <c r="G20" s="119"/>
      <c r="H20" s="119">
        <f>$D$38*E20</f>
        <v>0.88549591852908405</v>
      </c>
      <c r="I20" s="99"/>
      <c r="J20" s="883"/>
      <c r="K20" s="883"/>
      <c r="L20" s="66"/>
    </row>
    <row r="21" spans="1:12" s="64" customFormat="1" ht="16.5" customHeight="1" x14ac:dyDescent="0.2">
      <c r="A21" s="97"/>
      <c r="B21" s="81" t="s">
        <v>101</v>
      </c>
      <c r="C21" s="123" t="s">
        <v>139</v>
      </c>
      <c r="D21" s="119">
        <f>D20*1000</f>
        <v>496.13958548417457</v>
      </c>
      <c r="E21" s="119">
        <f>E20*1000</f>
        <v>885.49591852908407</v>
      </c>
      <c r="F21" s="119"/>
      <c r="G21" s="119"/>
      <c r="H21" s="119">
        <f>$D$38*E21</f>
        <v>885.49591852908407</v>
      </c>
      <c r="I21" s="100"/>
      <c r="J21" s="71"/>
      <c r="K21" s="71"/>
      <c r="L21" s="66"/>
    </row>
    <row r="22" spans="1:12" s="64" customFormat="1" x14ac:dyDescent="0.2">
      <c r="A22" s="97"/>
      <c r="B22" s="81"/>
      <c r="C22" s="123"/>
      <c r="D22" s="121"/>
      <c r="E22" s="121"/>
      <c r="F22" s="121"/>
      <c r="G22" s="121"/>
      <c r="H22" s="117"/>
      <c r="I22" s="100"/>
      <c r="J22" s="71"/>
      <c r="K22" s="71"/>
      <c r="L22" s="66"/>
    </row>
    <row r="23" spans="1:12" s="64" customFormat="1" ht="18.75" x14ac:dyDescent="0.35">
      <c r="A23" s="76"/>
      <c r="B23" s="77" t="s">
        <v>140</v>
      </c>
      <c r="C23" s="123"/>
      <c r="D23" s="123"/>
      <c r="E23" s="123"/>
      <c r="F23" s="123"/>
      <c r="G23" s="123"/>
      <c r="H23" s="96"/>
      <c r="I23" s="100"/>
      <c r="J23" s="72"/>
      <c r="K23" s="72"/>
      <c r="L23" s="73"/>
    </row>
    <row r="24" spans="1:12" s="64" customFormat="1" ht="47.25" x14ac:dyDescent="0.25">
      <c r="A24" s="97"/>
      <c r="B24" s="79" t="s">
        <v>103</v>
      </c>
      <c r="C24" s="77" t="s">
        <v>11</v>
      </c>
      <c r="D24" s="77" t="s">
        <v>181</v>
      </c>
      <c r="E24" s="77" t="s">
        <v>11</v>
      </c>
      <c r="F24" s="254" t="s">
        <v>342</v>
      </c>
      <c r="G24" s="77" t="s">
        <v>180</v>
      </c>
      <c r="H24" s="107" t="s">
        <v>352</v>
      </c>
      <c r="I24" s="123"/>
      <c r="J24" s="123"/>
      <c r="K24" s="123"/>
      <c r="L24" s="123"/>
    </row>
    <row r="25" spans="1:12" ht="18" customHeight="1" x14ac:dyDescent="0.35">
      <c r="A25" s="97"/>
      <c r="B25" s="81" t="s">
        <v>178</v>
      </c>
      <c r="C25" s="117" t="s">
        <v>141</v>
      </c>
      <c r="D25" s="108">
        <v>100.09</v>
      </c>
      <c r="E25" s="117" t="s">
        <v>211</v>
      </c>
      <c r="F25" s="159">
        <v>2.71</v>
      </c>
      <c r="G25" s="255">
        <f>D25/F25</f>
        <v>36.933579335793361</v>
      </c>
      <c r="H25" s="212">
        <f>G25/D25</f>
        <v>0.36900369003690037</v>
      </c>
      <c r="I25" s="123"/>
      <c r="J25" s="123"/>
      <c r="K25" s="123"/>
      <c r="L25" s="123"/>
    </row>
    <row r="26" spans="1:12" ht="18" customHeight="1" x14ac:dyDescent="0.2">
      <c r="A26" s="97"/>
      <c r="B26" s="81"/>
      <c r="C26" s="117"/>
      <c r="D26" s="108"/>
      <c r="E26" s="117"/>
      <c r="F26" s="159"/>
      <c r="G26" s="255"/>
      <c r="H26" s="212"/>
      <c r="I26" s="123"/>
      <c r="J26" s="123"/>
      <c r="K26" s="123"/>
      <c r="L26" s="123"/>
    </row>
    <row r="27" spans="1:12" ht="18" customHeight="1" x14ac:dyDescent="0.2">
      <c r="A27" s="97"/>
      <c r="B27" s="81" t="s">
        <v>177</v>
      </c>
      <c r="C27" s="117" t="s">
        <v>141</v>
      </c>
      <c r="D27" s="108">
        <v>56.08</v>
      </c>
      <c r="E27" s="117" t="s">
        <v>211</v>
      </c>
      <c r="F27" s="159">
        <v>3.34</v>
      </c>
      <c r="G27" s="255">
        <f>D27/F27</f>
        <v>16.790419161676645</v>
      </c>
      <c r="H27" s="212">
        <f>G27/D27</f>
        <v>0.29940119760479039</v>
      </c>
      <c r="I27" s="123"/>
      <c r="J27" s="123"/>
      <c r="K27" s="123"/>
      <c r="L27" s="123"/>
    </row>
    <row r="28" spans="1:12" ht="21.75" customHeight="1" x14ac:dyDescent="0.35">
      <c r="A28" s="97"/>
      <c r="B28" s="81" t="s">
        <v>179</v>
      </c>
      <c r="C28" s="117" t="s">
        <v>141</v>
      </c>
      <c r="D28" s="108">
        <v>74.08</v>
      </c>
      <c r="E28" s="117" t="s">
        <v>211</v>
      </c>
      <c r="F28" s="159">
        <v>2.2400000000000002</v>
      </c>
      <c r="G28" s="255">
        <f>D28/F28</f>
        <v>33.071428571428569</v>
      </c>
      <c r="H28" s="212">
        <f>G28/D28</f>
        <v>0.4464285714285714</v>
      </c>
      <c r="I28" s="123"/>
      <c r="J28" s="123"/>
      <c r="K28" s="123"/>
      <c r="L28" s="123"/>
    </row>
    <row r="29" spans="1:12" ht="21.75" customHeight="1" x14ac:dyDescent="0.35">
      <c r="A29" s="97"/>
      <c r="B29" s="81" t="s">
        <v>175</v>
      </c>
      <c r="C29" s="117" t="s">
        <v>141</v>
      </c>
      <c r="D29" s="109">
        <v>44.01</v>
      </c>
      <c r="E29" s="117" t="s">
        <v>211</v>
      </c>
      <c r="F29" s="109"/>
      <c r="G29" s="109">
        <v>22400</v>
      </c>
      <c r="H29" s="212">
        <f>G29/D29</f>
        <v>508.97523290161331</v>
      </c>
      <c r="I29" s="123"/>
      <c r="J29" s="123"/>
      <c r="K29" s="123"/>
      <c r="L29" s="123"/>
    </row>
    <row r="30" spans="1:12" s="64" customFormat="1" ht="48.75" x14ac:dyDescent="0.35">
      <c r="A30" s="97"/>
      <c r="B30" s="79" t="s">
        <v>112</v>
      </c>
      <c r="C30" s="117"/>
      <c r="D30" s="254" t="s">
        <v>350</v>
      </c>
      <c r="E30" s="85" t="s">
        <v>128</v>
      </c>
      <c r="F30" s="117"/>
      <c r="G30" s="254" t="s">
        <v>351</v>
      </c>
      <c r="H30" s="85" t="s">
        <v>128</v>
      </c>
      <c r="I30" s="123"/>
      <c r="J30" s="123"/>
      <c r="K30" s="123"/>
      <c r="L30" s="123"/>
    </row>
    <row r="31" spans="1:12" s="64" customFormat="1" ht="18" x14ac:dyDescent="0.2">
      <c r="A31" s="97"/>
      <c r="B31" s="81" t="s">
        <v>115</v>
      </c>
      <c r="C31" s="123" t="s">
        <v>142</v>
      </c>
      <c r="D31" s="124">
        <f>D29/D25</f>
        <v>0.43970426616045555</v>
      </c>
      <c r="E31" s="103">
        <f>$D$38*D31</f>
        <v>0.43970426616045555</v>
      </c>
      <c r="F31" s="256" t="s">
        <v>349</v>
      </c>
      <c r="G31" s="124">
        <f>$D$29/G25</f>
        <v>1.1915985612948345</v>
      </c>
      <c r="H31" s="103">
        <f>$D$38*G31</f>
        <v>1.1915985612948345</v>
      </c>
      <c r="I31" s="123"/>
      <c r="J31" s="123"/>
      <c r="K31" s="123"/>
      <c r="L31" s="123"/>
    </row>
    <row r="32" spans="1:12" s="64" customFormat="1" ht="18" x14ac:dyDescent="0.2">
      <c r="A32" s="97"/>
      <c r="B32" s="81" t="s">
        <v>113</v>
      </c>
      <c r="C32" s="123" t="s">
        <v>142</v>
      </c>
      <c r="D32" s="124">
        <f>D29/D27</f>
        <v>0.78477175463623394</v>
      </c>
      <c r="E32" s="103">
        <f>$D$38*D32</f>
        <v>0.78477175463623394</v>
      </c>
      <c r="F32" s="256" t="s">
        <v>349</v>
      </c>
      <c r="G32" s="124">
        <f>$D$29/G27</f>
        <v>2.6211376604850214</v>
      </c>
      <c r="H32" s="103">
        <f>$D$38*G32</f>
        <v>2.6211376604850214</v>
      </c>
      <c r="I32" s="123"/>
      <c r="J32" s="123"/>
      <c r="K32" s="123"/>
      <c r="L32" s="123"/>
    </row>
    <row r="33" spans="1:12" s="64" customFormat="1" ht="18" x14ac:dyDescent="0.2">
      <c r="A33" s="97"/>
      <c r="B33" s="81" t="s">
        <v>114</v>
      </c>
      <c r="C33" s="123" t="s">
        <v>142</v>
      </c>
      <c r="D33" s="124">
        <f>D29/D28</f>
        <v>0.5940874730021598</v>
      </c>
      <c r="E33" s="103">
        <f>$D$38*D33</f>
        <v>0.5940874730021598</v>
      </c>
      <c r="F33" s="256" t="s">
        <v>349</v>
      </c>
      <c r="G33" s="124">
        <f>$D$29/G28</f>
        <v>1.3307559395248381</v>
      </c>
      <c r="H33" s="103">
        <f>$D$38*G33</f>
        <v>1.3307559395248381</v>
      </c>
      <c r="I33" s="123"/>
      <c r="J33" s="123"/>
      <c r="K33" s="123"/>
      <c r="L33" s="123"/>
    </row>
    <row r="34" spans="1:12" s="64" customFormat="1" x14ac:dyDescent="0.2">
      <c r="A34" s="97"/>
      <c r="B34" s="81"/>
      <c r="C34" s="123"/>
      <c r="D34" s="123"/>
      <c r="E34" s="123"/>
      <c r="F34" s="123"/>
      <c r="G34" s="123"/>
      <c r="H34" s="123"/>
      <c r="I34" s="123"/>
      <c r="J34" s="123"/>
      <c r="K34" s="123"/>
      <c r="L34" s="123"/>
    </row>
    <row r="35" spans="1:12" s="64" customFormat="1" x14ac:dyDescent="0.2">
      <c r="A35" s="97"/>
      <c r="B35" s="81"/>
      <c r="C35" s="125"/>
      <c r="D35" s="121"/>
      <c r="E35" s="117"/>
      <c r="F35" s="117"/>
      <c r="G35" s="117"/>
      <c r="H35" s="74"/>
      <c r="I35" s="123"/>
      <c r="J35" s="123"/>
      <c r="K35" s="123"/>
      <c r="L35" s="123"/>
    </row>
    <row r="36" spans="1:12" s="64" customFormat="1" ht="12.75" customHeight="1" x14ac:dyDescent="0.25">
      <c r="A36" s="97"/>
      <c r="B36" s="79" t="s">
        <v>104</v>
      </c>
      <c r="C36" s="123"/>
      <c r="D36" s="123"/>
      <c r="E36" s="123"/>
      <c r="F36" s="123"/>
      <c r="G36" s="123"/>
      <c r="H36" s="96"/>
      <c r="I36" s="123"/>
      <c r="J36" s="123"/>
      <c r="K36" s="123"/>
      <c r="L36" s="123"/>
    </row>
    <row r="37" spans="1:12" s="64" customFormat="1" ht="18" x14ac:dyDescent="0.2">
      <c r="A37" s="97">
        <v>1</v>
      </c>
      <c r="B37" s="97" t="s">
        <v>105</v>
      </c>
      <c r="C37" s="65"/>
      <c r="D37" s="123">
        <v>3.6</v>
      </c>
      <c r="E37" s="126" t="s">
        <v>143</v>
      </c>
      <c r="F37" s="126"/>
      <c r="G37" s="126"/>
      <c r="H37" s="74"/>
      <c r="I37" s="123"/>
      <c r="J37" s="123"/>
      <c r="K37" s="123"/>
      <c r="L37" s="123"/>
    </row>
    <row r="38" spans="1:12" s="64" customFormat="1" x14ac:dyDescent="0.2">
      <c r="A38" s="97">
        <v>2</v>
      </c>
      <c r="B38" s="81" t="s">
        <v>305</v>
      </c>
      <c r="C38" s="65"/>
      <c r="D38" s="234">
        <v>1</v>
      </c>
      <c r="E38" s="123"/>
      <c r="F38" s="123"/>
      <c r="G38" s="123"/>
      <c r="H38" s="96"/>
      <c r="I38" s="123"/>
      <c r="J38" s="123"/>
      <c r="K38" s="123"/>
      <c r="L38" s="123"/>
    </row>
    <row r="39" spans="1:12" s="156" customFormat="1" ht="57" customHeight="1" x14ac:dyDescent="0.25">
      <c r="A39" s="144" t="s">
        <v>382</v>
      </c>
      <c r="B39" s="155"/>
      <c r="C39" s="144" t="s">
        <v>107</v>
      </c>
      <c r="D39" s="87"/>
      <c r="E39" s="87"/>
      <c r="F39" s="87"/>
      <c r="G39" s="87"/>
      <c r="H39" s="155"/>
      <c r="I39" s="87"/>
      <c r="J39" s="155"/>
      <c r="K39" s="107" t="s">
        <v>190</v>
      </c>
      <c r="L39" s="107" t="s">
        <v>191</v>
      </c>
    </row>
    <row r="40" spans="1:12" s="157" customFormat="1" ht="18" customHeight="1" x14ac:dyDescent="0.25">
      <c r="A40" s="86"/>
      <c r="B40" s="57" t="s">
        <v>151</v>
      </c>
      <c r="C40" s="57" t="s">
        <v>316</v>
      </c>
      <c r="D40" s="49"/>
      <c r="E40" s="49"/>
      <c r="F40" s="87"/>
      <c r="G40" s="238">
        <v>900</v>
      </c>
      <c r="H40" s="25" t="s">
        <v>317</v>
      </c>
      <c r="I40" s="240">
        <f>G40+273.15</f>
        <v>1173.1500000000001</v>
      </c>
      <c r="J40" s="145"/>
      <c r="K40" s="235">
        <v>1173</v>
      </c>
      <c r="L40" s="46"/>
    </row>
    <row r="41" spans="1:12" s="157" customFormat="1" ht="15.75" x14ac:dyDescent="0.25">
      <c r="A41" s="86"/>
      <c r="B41" s="145" t="s">
        <v>170</v>
      </c>
      <c r="C41" s="145"/>
      <c r="D41" s="49"/>
      <c r="E41" s="49"/>
      <c r="F41" s="49"/>
      <c r="G41" s="49"/>
      <c r="H41" s="145"/>
      <c r="I41" s="49"/>
      <c r="J41" s="145"/>
      <c r="K41" s="75">
        <f>E16</f>
        <v>3187.7853067047026</v>
      </c>
      <c r="L41" s="147">
        <f t="shared" ref="L41:L46" si="0">$D$38*K41</f>
        <v>3187.7853067047026</v>
      </c>
    </row>
    <row r="42" spans="1:12" s="157" customFormat="1" ht="15.75" x14ac:dyDescent="0.25">
      <c r="A42" s="86"/>
      <c r="B42" s="57" t="s">
        <v>315</v>
      </c>
      <c r="C42" s="145" t="s">
        <v>109</v>
      </c>
      <c r="D42" s="49"/>
      <c r="E42" s="49"/>
      <c r="F42" s="49"/>
      <c r="G42" s="49"/>
      <c r="H42" s="145"/>
      <c r="I42" s="49"/>
      <c r="J42" s="145"/>
      <c r="K42" s="146">
        <v>13</v>
      </c>
      <c r="L42" s="147">
        <f t="shared" si="0"/>
        <v>13</v>
      </c>
    </row>
    <row r="43" spans="1:12" s="157" customFormat="1" ht="15.75" x14ac:dyDescent="0.25">
      <c r="A43" s="86"/>
      <c r="B43" s="57" t="s">
        <v>89</v>
      </c>
      <c r="C43" s="145" t="s">
        <v>110</v>
      </c>
      <c r="D43" s="49"/>
      <c r="E43" s="49"/>
      <c r="F43" s="49"/>
      <c r="G43" s="49"/>
      <c r="H43" s="145"/>
      <c r="I43" s="49"/>
      <c r="J43" s="145"/>
      <c r="K43" s="146">
        <f>'P C Data'!K53*$K$40/'P C Data'!$K$36</f>
        <v>424.13174695298898</v>
      </c>
      <c r="L43" s="147">
        <f t="shared" si="0"/>
        <v>424.13174695298898</v>
      </c>
    </row>
    <row r="44" spans="1:12" s="157" customFormat="1" ht="15.75" x14ac:dyDescent="0.25">
      <c r="A44" s="86"/>
      <c r="B44" s="57" t="s">
        <v>92</v>
      </c>
      <c r="C44" s="145" t="s">
        <v>110</v>
      </c>
      <c r="D44" s="49"/>
      <c r="E44" s="49"/>
      <c r="F44" s="49"/>
      <c r="G44" s="49"/>
      <c r="H44" s="145"/>
      <c r="I44" s="49"/>
      <c r="J44" s="145"/>
      <c r="K44" s="146">
        <f>'P C Data'!K54*$K$40/'P C Data'!$K$36</f>
        <v>59.909460243760883</v>
      </c>
      <c r="L44" s="147">
        <f t="shared" si="0"/>
        <v>59.909460243760883</v>
      </c>
    </row>
    <row r="45" spans="1:12" s="157" customFormat="1" x14ac:dyDescent="0.2">
      <c r="A45" s="155"/>
      <c r="B45" s="57" t="s">
        <v>90</v>
      </c>
      <c r="C45" s="145" t="s">
        <v>110</v>
      </c>
      <c r="D45" s="145"/>
      <c r="E45" s="145"/>
      <c r="F45" s="145"/>
      <c r="G45" s="145"/>
      <c r="H45" s="145"/>
      <c r="I45" s="145"/>
      <c r="J45" s="145"/>
      <c r="K45" s="146">
        <f>'P C Data'!K55*$K$40/'P C Data'!$K$36</f>
        <v>290.69704004643063</v>
      </c>
      <c r="L45" s="147">
        <f t="shared" si="0"/>
        <v>290.69704004643063</v>
      </c>
    </row>
    <row r="46" spans="1:12" s="157" customFormat="1" x14ac:dyDescent="0.2">
      <c r="A46" s="155"/>
      <c r="B46" s="57" t="s">
        <v>91</v>
      </c>
      <c r="C46" s="145" t="s">
        <v>111</v>
      </c>
      <c r="D46" s="145"/>
      <c r="E46" s="145"/>
      <c r="F46" s="145"/>
      <c r="G46" s="145"/>
      <c r="H46" s="145"/>
      <c r="I46" s="145"/>
      <c r="J46" s="145"/>
      <c r="K46" s="146">
        <f>'P C Data'!K55*(K40/'P C Data'!K36)^2</f>
        <v>197.90344049591593</v>
      </c>
      <c r="L46" s="147">
        <f t="shared" si="0"/>
        <v>197.90344049591593</v>
      </c>
    </row>
    <row r="47" spans="1:12" s="157" customFormat="1" ht="15.75" x14ac:dyDescent="0.25">
      <c r="A47" s="155"/>
      <c r="B47" s="54" t="s">
        <v>167</v>
      </c>
      <c r="C47" s="145"/>
      <c r="D47" s="145"/>
      <c r="E47" s="145"/>
      <c r="F47" s="145"/>
      <c r="G47" s="145"/>
      <c r="H47" s="145"/>
      <c r="I47" s="145"/>
      <c r="J47" s="145"/>
      <c r="K47" s="147">
        <f>SUM(K42:K46)</f>
        <v>985.64168773909637</v>
      </c>
      <c r="L47" s="147">
        <f>SUM(L42:L46)</f>
        <v>985.64168773909637</v>
      </c>
    </row>
    <row r="48" spans="1:12" s="64" customFormat="1" ht="15.75" x14ac:dyDescent="0.25">
      <c r="A48" s="76"/>
      <c r="B48" s="77" t="s">
        <v>8</v>
      </c>
      <c r="C48" s="76"/>
      <c r="D48" s="76"/>
      <c r="E48" s="76"/>
      <c r="F48" s="76"/>
      <c r="G48" s="76"/>
      <c r="H48" s="106"/>
      <c r="I48" s="97"/>
      <c r="J48" s="97"/>
      <c r="K48" s="148">
        <f>K41+K47</f>
        <v>4173.4269944437992</v>
      </c>
      <c r="L48" s="148">
        <f>L41+L47</f>
        <v>4173.4269944437992</v>
      </c>
    </row>
    <row r="49" spans="1:12" s="64" customFormat="1" ht="15.75" x14ac:dyDescent="0.25">
      <c r="A49" s="76"/>
      <c r="B49" s="79" t="s">
        <v>168</v>
      </c>
      <c r="C49" s="76"/>
      <c r="D49" s="76"/>
      <c r="E49" s="76"/>
      <c r="F49" s="76"/>
      <c r="G49" s="76"/>
      <c r="H49" s="110"/>
      <c r="I49" s="97"/>
      <c r="J49" s="97"/>
      <c r="K49" s="149"/>
      <c r="L49" s="150">
        <f>L47/K41</f>
        <v>0.30919324637893514</v>
      </c>
    </row>
    <row r="50" spans="1:12" s="64" customFormat="1" x14ac:dyDescent="0.2">
      <c r="A50" s="76"/>
      <c r="B50" s="97" t="s">
        <v>438</v>
      </c>
      <c r="C50" s="76"/>
      <c r="D50" s="76"/>
      <c r="E50" s="76"/>
      <c r="F50" s="76"/>
      <c r="G50" s="110"/>
      <c r="H50" s="97"/>
      <c r="I50" s="97"/>
      <c r="J50" s="97"/>
      <c r="K50" s="222"/>
      <c r="L50" s="325">
        <v>100</v>
      </c>
    </row>
    <row r="51" spans="1:12" s="64" customFormat="1" x14ac:dyDescent="0.2">
      <c r="A51" s="76"/>
      <c r="B51" s="76" t="s">
        <v>437</v>
      </c>
      <c r="C51" s="76"/>
      <c r="D51" s="76"/>
      <c r="E51" s="76"/>
      <c r="F51" s="76"/>
      <c r="G51" s="110"/>
      <c r="H51" s="97"/>
      <c r="I51" s="97"/>
      <c r="J51" s="97"/>
      <c r="K51" s="222"/>
      <c r="L51" s="326">
        <v>0</v>
      </c>
    </row>
    <row r="52" spans="1:12" s="64" customFormat="1" x14ac:dyDescent="0.2">
      <c r="H52" s="158"/>
      <c r="I52" s="98"/>
      <c r="J52" s="98"/>
    </row>
    <row r="53" spans="1:12" s="64" customFormat="1" x14ac:dyDescent="0.2">
      <c r="H53" s="158"/>
      <c r="I53" s="98"/>
      <c r="J53" s="98"/>
      <c r="K53" s="98"/>
      <c r="L53" s="98"/>
    </row>
    <row r="54" spans="1:12" s="64" customFormat="1" x14ac:dyDescent="0.2">
      <c r="B54" s="127" t="s">
        <v>2</v>
      </c>
      <c r="C54" s="128"/>
      <c r="D54" s="129"/>
      <c r="E54" s="130"/>
      <c r="H54" s="158"/>
      <c r="I54" s="98"/>
      <c r="J54" s="98"/>
      <c r="K54" s="98"/>
      <c r="L54" s="98"/>
    </row>
    <row r="55" spans="1:12" s="64" customFormat="1" x14ac:dyDescent="0.2">
      <c r="B55" s="101" t="s">
        <v>3</v>
      </c>
      <c r="C55" s="878" t="s">
        <v>4</v>
      </c>
      <c r="D55" s="879"/>
      <c r="E55" s="879"/>
      <c r="H55" s="158"/>
      <c r="I55" s="98"/>
      <c r="J55" s="98"/>
      <c r="K55" s="98"/>
      <c r="L55" s="98"/>
    </row>
    <row r="56" spans="1:12" s="64" customFormat="1" x14ac:dyDescent="0.2">
      <c r="B56" s="131"/>
      <c r="C56" s="880" t="s">
        <v>5</v>
      </c>
      <c r="D56" s="879"/>
      <c r="E56" s="879"/>
      <c r="H56" s="158"/>
      <c r="I56" s="98"/>
      <c r="J56" s="98"/>
      <c r="K56" s="98"/>
      <c r="L56" s="98"/>
    </row>
    <row r="57" spans="1:12" s="64" customFormat="1" x14ac:dyDescent="0.2">
      <c r="A57" s="98"/>
      <c r="B57" s="132"/>
      <c r="C57" s="133" t="s">
        <v>6</v>
      </c>
      <c r="D57" s="151"/>
      <c r="E57" s="152"/>
      <c r="F57" s="98"/>
      <c r="G57" s="98"/>
      <c r="H57" s="158"/>
      <c r="I57" s="98"/>
      <c r="J57" s="98"/>
      <c r="K57" s="98"/>
      <c r="L57" s="98"/>
    </row>
    <row r="58" spans="1:12" s="64" customFormat="1" x14ac:dyDescent="0.2">
      <c r="A58" s="98"/>
      <c r="B58" s="136"/>
      <c r="C58" s="102" t="s">
        <v>7</v>
      </c>
      <c r="D58" s="153"/>
      <c r="E58" s="154"/>
      <c r="F58" s="98"/>
      <c r="G58" s="98"/>
      <c r="H58" s="158"/>
      <c r="I58" s="98"/>
      <c r="J58" s="98"/>
      <c r="K58" s="98"/>
      <c r="L58" s="98"/>
    </row>
    <row r="59" spans="1:12" s="64" customFormat="1" x14ac:dyDescent="0.2">
      <c r="A59" s="98"/>
      <c r="B59" s="139"/>
      <c r="C59" s="140" t="s">
        <v>68</v>
      </c>
      <c r="D59" s="151"/>
      <c r="E59" s="152"/>
      <c r="F59" s="98"/>
      <c r="G59" s="98"/>
      <c r="H59" s="158"/>
      <c r="I59" s="98"/>
      <c r="J59" s="98"/>
      <c r="K59" s="98"/>
      <c r="L59" s="98"/>
    </row>
    <row r="60" spans="1:12" s="64" customFormat="1" x14ac:dyDescent="0.2">
      <c r="A60" s="98"/>
      <c r="B60" s="143"/>
      <c r="C60" s="140" t="s">
        <v>16</v>
      </c>
      <c r="D60" s="151"/>
      <c r="E60" s="152"/>
      <c r="F60" s="98"/>
      <c r="G60" s="98"/>
      <c r="H60" s="158"/>
      <c r="I60" s="98"/>
      <c r="J60" s="98"/>
      <c r="K60" s="98"/>
      <c r="L60" s="98"/>
    </row>
    <row r="61" spans="1:12" s="64" customFormat="1" x14ac:dyDescent="0.2">
      <c r="A61" s="98"/>
      <c r="B61" s="98"/>
      <c r="C61" s="98"/>
      <c r="D61" s="98"/>
      <c r="E61" s="98"/>
      <c r="F61" s="98"/>
      <c r="G61" s="98"/>
      <c r="H61" s="158"/>
      <c r="I61" s="98"/>
      <c r="J61" s="98"/>
      <c r="K61" s="98"/>
      <c r="L61" s="98"/>
    </row>
    <row r="62" spans="1:12" s="64" customFormat="1" x14ac:dyDescent="0.2">
      <c r="A62" s="98"/>
      <c r="B62" s="98"/>
      <c r="C62" s="98"/>
      <c r="D62" s="98"/>
      <c r="E62" s="98"/>
      <c r="F62" s="98"/>
      <c r="G62" s="98"/>
      <c r="H62" s="158"/>
      <c r="I62" s="98"/>
      <c r="J62" s="98"/>
      <c r="K62" s="98"/>
      <c r="L62" s="98"/>
    </row>
    <row r="63" spans="1:12" s="64" customFormat="1" x14ac:dyDescent="0.2">
      <c r="A63" s="98"/>
      <c r="B63" s="98"/>
      <c r="C63" s="98"/>
      <c r="D63" s="98"/>
      <c r="E63" s="98"/>
      <c r="F63" s="98"/>
      <c r="G63" s="98"/>
      <c r="H63" s="158"/>
      <c r="I63" s="98"/>
      <c r="J63" s="98"/>
      <c r="K63" s="98"/>
      <c r="L63" s="98"/>
    </row>
    <row r="64" spans="1:12" s="64" customFormat="1" x14ac:dyDescent="0.2">
      <c r="A64" s="98"/>
      <c r="B64" s="98"/>
      <c r="C64" s="98"/>
      <c r="D64" s="98"/>
      <c r="E64" s="98"/>
      <c r="F64" s="98"/>
      <c r="G64" s="98"/>
      <c r="H64" s="158"/>
      <c r="I64" s="98"/>
      <c r="J64" s="98"/>
      <c r="K64" s="98"/>
      <c r="L64" s="98"/>
    </row>
    <row r="65" spans="1:12" s="64" customFormat="1" x14ac:dyDescent="0.2">
      <c r="A65" s="98"/>
      <c r="B65" s="98"/>
      <c r="C65" s="98"/>
      <c r="D65" s="98"/>
      <c r="E65" s="98"/>
      <c r="F65" s="98"/>
      <c r="G65" s="98"/>
      <c r="H65" s="158"/>
      <c r="I65" s="98"/>
      <c r="J65" s="98"/>
      <c r="K65" s="98"/>
      <c r="L65" s="98"/>
    </row>
    <row r="66" spans="1:12" s="64" customFormat="1" x14ac:dyDescent="0.2">
      <c r="A66" s="98"/>
      <c r="B66" s="98"/>
      <c r="C66" s="98"/>
      <c r="D66" s="98"/>
      <c r="E66" s="98"/>
      <c r="F66" s="98"/>
      <c r="G66" s="98"/>
      <c r="H66" s="158"/>
      <c r="I66" s="98"/>
      <c r="J66" s="98"/>
      <c r="K66" s="98"/>
      <c r="L66" s="98"/>
    </row>
  </sheetData>
  <mergeCells count="4">
    <mergeCell ref="D7:H7"/>
    <mergeCell ref="J20:K20"/>
    <mergeCell ref="C55:E55"/>
    <mergeCell ref="C56:E56"/>
  </mergeCells>
  <phoneticPr fontId="1" type="noConversion"/>
  <pageMargins left="0.75" right="0.75" top="1" bottom="1" header="0.5" footer="0.5"/>
  <pageSetup paperSize="9" scale="82" fitToHeight="3"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Overview &amp; Instructions</vt:lpstr>
      <vt:lpstr>Gaia Engineering</vt:lpstr>
      <vt:lpstr>Global Emissions</vt:lpstr>
      <vt:lpstr>Energy &amp; Emissions Comparison</vt:lpstr>
      <vt:lpstr>Energy Cost &amp; Emissions</vt:lpstr>
      <vt:lpstr>Energy Cost Calcs</vt:lpstr>
      <vt:lpstr>P C Data</vt:lpstr>
      <vt:lpstr>Syncarb to rMgO Data</vt:lpstr>
      <vt:lpstr>Lime Energy &amp; CO2 Data</vt:lpstr>
      <vt:lpstr>SCM Data</vt:lpstr>
      <vt:lpstr>References</vt:lpstr>
      <vt:lpstr>Thermodynamic Data</vt:lpstr>
      <vt:lpstr>'Energy &amp; Emissions Comparison'!Print_Area</vt:lpstr>
      <vt:lpstr>'Overview &amp; Instructions'!Print_Area</vt:lpstr>
      <vt:lpstr>References</vt:lpstr>
    </vt:vector>
  </TitlesOfParts>
  <Company>TecEco and Granular Flow Research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TecEco</dc:subject>
  <dc:creator>John Harrison and Dr Dennis R Van Puyvelde</dc:creator>
  <cp:keywords>life cycle analysis, cement, portland, magnesia, limestone</cp:keywords>
  <dc:description>LCA model comparing TecEco cements to typical portland cement.</dc:description>
  <cp:lastModifiedBy>DellStudioXPSUser</cp:lastModifiedBy>
  <cp:lastPrinted>2006-05-27T06:49:46Z</cp:lastPrinted>
  <dcterms:created xsi:type="dcterms:W3CDTF">2006-01-20T09:12:26Z</dcterms:created>
  <dcterms:modified xsi:type="dcterms:W3CDTF">2013-04-02T10:39:24Z</dcterms:modified>
  <cp:category>Research and Consultancies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lephone number">
    <vt:lpwstr>0413 33 24 37</vt:lpwstr>
  </property>
  <property fmtid="{D5CDD505-2E9C-101B-9397-08002B2CF9AE}" pid="3" name="Client">
    <vt:lpwstr>TecEco</vt:lpwstr>
  </property>
</Properties>
</file>